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pruo365-my.sharepoint.com/personal/sharon_ch_lu_pcalife_com_tw/Documents/Desktop/# BR新增附約/#修改_保費分齡表/"/>
    </mc:Choice>
  </mc:AlternateContent>
  <xr:revisionPtr revIDLastSave="29" documentId="13_ncr:1_{E9E0D311-6386-4CAB-A099-AF225CD62A33}" xr6:coauthVersionLast="47" xr6:coauthVersionMax="47" xr10:uidLastSave="{86082A26-FAF5-48B0-87FE-FAF3F45A7B37}"/>
  <workbookProtection workbookAlgorithmName="SHA-512" workbookHashValue="HhkB8AQqPtPrC17ctkhxDmc5+fKepAmVlP/zNobiHZ+3xsta7cOfopjD3QAekexsRvpvgwsoN4Rbcx+mbRDl4A==" workbookSaltValue="i832gUhMhoI1X5is9KvC9A==" workbookSpinCount="100000" lockStructure="1"/>
  <bookViews>
    <workbookView xWindow="28680" yWindow="-120" windowWidth="29040" windowHeight="15840" tabRatio="874" xr2:uid="{AF03AD39-188C-3D47-95D1-6123089DD07B}"/>
  </bookViews>
  <sheets>
    <sheet name="資料輸入" sheetId="1" r:id="rId1"/>
    <sheet name="保費分齡表(0歲-15歲)" sheetId="8" r:id="rId2"/>
    <sheet name="保費分齡表(16歲-65歲)" sheetId="3" r:id="rId3"/>
    <sheet name="保費分齡表(66歲以上)" sheetId="9" r:id="rId4"/>
    <sheet name="OP" sheetId="2" state="hidden" r:id="rId5"/>
    <sheet name="資料檢核" sheetId="5" state="hidden" r:id="rId6"/>
    <sheet name="主約費率表" sheetId="7" state="hidden" r:id="rId7"/>
    <sheet name="附約NP" sheetId="6" state="hidden" r:id="rId8"/>
    <sheet name="試算表 (0-15歲)" sheetId="10" state="hidden" r:id="rId9"/>
    <sheet name="試算表(16歲-65歲)" sheetId="4" state="hidden" r:id="rId10"/>
    <sheet name="試算表 (66-70歲)" sheetId="11" state="hidden" r:id="rId11"/>
  </sheets>
  <definedNames>
    <definedName name="ACCNTR1_NP">附約NP!$AS$2:$AW$31</definedName>
    <definedName name="ACCNTR1_是否投保">OP!$R$23</definedName>
    <definedName name="ACCNTR1投保單位">資料輸入!$N$23</definedName>
    <definedName name="ACCNTR1商品代號">OP!$B$37</definedName>
    <definedName name="ACCNTR1商品名稱">OP!$A$37</definedName>
    <definedName name="ACCNTR1商品年期">OP!$C$37</definedName>
    <definedName name="ACCNTR1最大保險年齡">OP!$E$37</definedName>
    <definedName name="ACCNTR1最小保險年齡">OP!$D$37</definedName>
    <definedName name="ACCNTR1檢核">資料檢核!$B$45</definedName>
    <definedName name="ACCNTR2_NP">附約NP!$AZ$2:$BD$173</definedName>
    <definedName name="ACCNTR2_是否投保">OP!$S$23</definedName>
    <definedName name="ACCNTR2保額">資料輸入!$N$25</definedName>
    <definedName name="ACCNTR2商品代號">OP!$B$38</definedName>
    <definedName name="ACCNTR2商品名稱">OP!$A$38</definedName>
    <definedName name="ACCNTR2商品年期">OP!$C$38</definedName>
    <definedName name="ACCNTR2最大保險年齡">OP!$E$38</definedName>
    <definedName name="ACCNTR2最小保險年齡">OP!$D$38</definedName>
    <definedName name="ACCNTR2最低保額">OP!$F$38</definedName>
    <definedName name="ACCNTR2最高保額">OP!$G$38</definedName>
    <definedName name="ACCNTR2檢核">資料檢核!$F$45</definedName>
    <definedName name="ACCNTR3_NP">附約NP!$BF$2:$BJ$173</definedName>
    <definedName name="ACCNTR3_是否投保">OP!$T$23</definedName>
    <definedName name="ACCNTR3保額">資料輸入!$N$27</definedName>
    <definedName name="ACCNTR3商品代號">OP!$B$39</definedName>
    <definedName name="ACCNTR3商品名稱">OP!$A$39</definedName>
    <definedName name="ACCNTR3商品年期">OP!$C$39</definedName>
    <definedName name="ACCNTR3最大保險年齡">OP!$E$39</definedName>
    <definedName name="ACCNTR3最小保險年齡">OP!$D$39</definedName>
    <definedName name="ACCNTR3最低保額">OP!$F$39</definedName>
    <definedName name="ACCNTR3最高保額">OP!$G$39</definedName>
    <definedName name="ACCNTR3檢核">資料檢核!$J$45</definedName>
    <definedName name="ADDNTR1_NP">附約NP!$H$2:$J$78</definedName>
    <definedName name="ADDNTR1_是否投保">OP!$N$23</definedName>
    <definedName name="ADDNTR1保額">資料輸入!$N$15</definedName>
    <definedName name="ADDNTR1商品代號">OP!$B$30</definedName>
    <definedName name="ADDNTR1商品名稱">OP!$A$30</definedName>
    <definedName name="ADDNTR1商品年期">OP!$C$30</definedName>
    <definedName name="ADDNTR1最大保險年齡">OP!$E$30</definedName>
    <definedName name="ADDNTR1最小保險年齡">OP!$D$30</definedName>
    <definedName name="ADDNTR1最低保額">OP!$F$30</definedName>
    <definedName name="ADDNTR1最高保額">OP!$G$30</definedName>
    <definedName name="ADDNTR1檢核">資料檢核!$J$23</definedName>
    <definedName name="ADMNTB1_NP">主約費率表!$O$1:$T$245</definedName>
    <definedName name="ADMNTB1_清單">OP!$I$3:$J$3</definedName>
    <definedName name="ADMNTB1最大保險年齡">OP!$D$3</definedName>
    <definedName name="ADMNTB1最小保險年齡">OP!$C$3</definedName>
    <definedName name="ADMRTB1_NP">主約費率表!$V$1:$AA$245</definedName>
    <definedName name="ADMRTB1_清單">OP!$I$4</definedName>
    <definedName name="ADMRTB1最大保險年齡">OP!$D$4</definedName>
    <definedName name="ADMRTB1最小保險年齡">OP!$C$4</definedName>
    <definedName name="AHINTB1_NP">主約費率表!$A$1:$F$173</definedName>
    <definedName name="AHINTB1_清單">OP!$I$2</definedName>
    <definedName name="AHINTB1最大保險年齡">OP!$D$2</definedName>
    <definedName name="AHINTB1最小保險年齡">OP!$C$2</definedName>
    <definedName name="AHINTB2_NP">主約費率表!$AQ$2:$AV$185</definedName>
    <definedName name="AHINTB2_清單">OP!$I$8:$J$8</definedName>
    <definedName name="AHINTB2最大保險年齡">OP!$D$8</definedName>
    <definedName name="AHINTB2最小保險年齡">OP!$C$8</definedName>
    <definedName name="AHIRLB1_NP">主約費率表!$H$1:$M$245</definedName>
    <definedName name="AHIRLB1_清單">OP!$I$7:$J$7</definedName>
    <definedName name="AHIRLB1最大保險年齡">OP!$D$7</definedName>
    <definedName name="AHIRLB1最小保險年齡">OP!$C$7</definedName>
    <definedName name="AMRNTR1_NP">附約NP!$L$2:$Q$913</definedName>
    <definedName name="AMRNTR1_是否投保">OP!$M$23</definedName>
    <definedName name="AMRNTR1計劃">資料輸入!$N$13</definedName>
    <definedName name="AMRNTR1商品代號">OP!$B$29</definedName>
    <definedName name="AMRNTR1商品名稱">OP!$A$29</definedName>
    <definedName name="AMRNTR1商品年期">OP!$C$29</definedName>
    <definedName name="AMRNTR1最大保險年齡">OP!$E$29</definedName>
    <definedName name="AMRNTR1最小保險年齡">OP!$D$29</definedName>
    <definedName name="AMRNTR1最低保額">OP!$F$29</definedName>
    <definedName name="AMRNTR1最高保額">OP!$G$29</definedName>
    <definedName name="AMRNTR1檢核">資料檢核!$F$23</definedName>
    <definedName name="ASGNLB1_NP">主約費率表!$AC$1:$AH$277</definedName>
    <definedName name="ASGNLB1_清單">OP!$I$5:$K$5</definedName>
    <definedName name="ASGNLB1最大保險年齡">OP!$D$5</definedName>
    <definedName name="ASGNLB1最小保險年齡">OP!$C$5</definedName>
    <definedName name="ASGNLB2_NP">主約費率表!$AJ$1:$AO$381</definedName>
    <definedName name="ASGNLB2_清單">OP!$I$6:$K$6</definedName>
    <definedName name="ASGNLB2最大保險年齡">OP!$D$6</definedName>
    <definedName name="ASGNLB2最小保險年齡">OP!$C$6</definedName>
    <definedName name="BNLTRN1_NP">附約NP!$A$2:$F$471</definedName>
    <definedName name="BNLTRN1_是否投保">OP!$L$23</definedName>
    <definedName name="BNLTRN1保額">資料輸入!$N$11</definedName>
    <definedName name="BNLTRN1商品代號">OP!$B$28</definedName>
    <definedName name="BNLTRN1商品名稱">OP!$A$28</definedName>
    <definedName name="BNLTRN1商品年期">OP!$C$28</definedName>
    <definedName name="BNLTRN1最大保險年齡">OP!$E$28</definedName>
    <definedName name="BNLTRN1最小保險年齡">OP!$D$28</definedName>
    <definedName name="BNLTRN1最低保額">OP!$F$28</definedName>
    <definedName name="BNLTRN1最高保額">OP!$G$28</definedName>
    <definedName name="BNLTRN1檢核">資料檢核!$B$23</definedName>
    <definedName name="BNLTRN1繳費年期">資料輸入!$K$11</definedName>
    <definedName name="DPAA_NP">附約NP!$S$3:$Z$5</definedName>
    <definedName name="DPAA_是否投保">OP!$O$23</definedName>
    <definedName name="DPAA保額">資料輸入!$N$17</definedName>
    <definedName name="DPAA商品代號">OP!$B$31</definedName>
    <definedName name="DPAA商品名稱">OP!$A$31</definedName>
    <definedName name="DPAA商品年期">OP!$C$31</definedName>
    <definedName name="DPAA最大保險年齡">OP!$E$31</definedName>
    <definedName name="DPAA最小保險年齡">OP!$D$31</definedName>
    <definedName name="DPAA最低保額">OP!$F$31</definedName>
    <definedName name="DPAA最高保額">OP!$G$31</definedName>
    <definedName name="DPAA檢核">資料檢核!$B$33</definedName>
    <definedName name="ML_NP">附約NP!$AB$3:$AH$8</definedName>
    <definedName name="ML_是否投保">OP!$P$23</definedName>
    <definedName name="ML計劃">資料輸入!$N$19</definedName>
    <definedName name="ML商品代號">OP!$B$35</definedName>
    <definedName name="ML商品名稱">OP!$A$35</definedName>
    <definedName name="ML商品年期">OP!$C$35</definedName>
    <definedName name="ML最大保險年齡">OP!$E$35</definedName>
    <definedName name="ML最小保險年齡">OP!$D$35</definedName>
    <definedName name="ML檢核">資料檢核!$F$33</definedName>
    <definedName name="MT_NP">附約NP!$AK$3:$AP$4</definedName>
    <definedName name="MT_是否投保">OP!$Q$23</definedName>
    <definedName name="MT保額">資料輸入!$N$21</definedName>
    <definedName name="MT商品代號">OP!$B$36</definedName>
    <definedName name="MT商品名稱">OP!$A$36</definedName>
    <definedName name="MT商品年期">OP!$C$36</definedName>
    <definedName name="MT最大保險年齡">OP!$E$36</definedName>
    <definedName name="MT最小保險年齡">OP!$D$36</definedName>
    <definedName name="MT最低保額">OP!$F$36</definedName>
    <definedName name="MT最高保額">OP!$G$36</definedName>
    <definedName name="MT檢核">資料檢核!$J$33</definedName>
    <definedName name="_xlnm.Print_Area" localSheetId="1">'保費分齡表(0歲-15歲)'!$A$1:$W$117</definedName>
    <definedName name="_xlnm.Print_Area" localSheetId="2">'保費分齡表(16歲-65歲)'!$A$1:$W$117</definedName>
    <definedName name="_xlnm.Print_Area" localSheetId="3">'保費分齡表(66歲以上)'!$A$1:$W$117</definedName>
    <definedName name="_xlnm.Print_Area" localSheetId="0">資料輸入!$A$1:$R$36</definedName>
    <definedName name="_xlnm.Print_Titles" localSheetId="1">'保費分齡表(0歲-15歲)'!$1:$22</definedName>
    <definedName name="_xlnm.Print_Titles" localSheetId="2">'保費分齡表(16歲-65歲)'!$1:$22</definedName>
    <definedName name="_xlnm.Print_Titles" localSheetId="3">'保費分齡表(66歲以上)'!$1:$22</definedName>
    <definedName name="下一歲生日">OP!#REF!</definedName>
    <definedName name="分齡表最大險種顯示數">OP!$K$44</definedName>
    <definedName name="分齡表最大顯示年齡">OP!$M$44</definedName>
    <definedName name="分齡表最小顯示年齡">OP!$L$44</definedName>
    <definedName name="主約保額">資料輸入!$N$9</definedName>
    <definedName name="主約商品">資料輸入!$D$9</definedName>
    <definedName name="主約商品年期表">OP!#REF!</definedName>
    <definedName name="主約商品集">OP!$A$2:$V$20</definedName>
    <definedName name="主約清單參數">OP!$K$23</definedName>
    <definedName name="主約費率表">OP!$J$23</definedName>
    <definedName name="主約檢核">資料檢核!$F$9</definedName>
    <definedName name="投保年齡_1">'試算表 (0-15歲)'!$A$3:$A$19</definedName>
    <definedName name="投保年齡_2">'試算表(16歲-65歲)'!$A$3:$A$48</definedName>
    <definedName name="投保單位">OP!$H$23</definedName>
    <definedName name="投保意外險判斷">資料檢核!$G$16</definedName>
    <definedName name="保費分齡表對應">OP!$H$31</definedName>
    <definedName name="保費分齡表顯示順序">OP!$C$44:$J$53</definedName>
    <definedName name="保額單位數值">OP!$I$23</definedName>
    <definedName name="商品代號">OP!$B$23</definedName>
    <definedName name="商品名稱">OP!$A$23</definedName>
    <definedName name="商品年期">OP!$C$23</definedName>
    <definedName name="最大保險年齡">OP!$E$23</definedName>
    <definedName name="最小保險年齡">OP!$D$23</definedName>
    <definedName name="最低保額">OP!$F$23</definedName>
    <definedName name="最高保額">OP!$G$23</definedName>
    <definedName name="照護有術顯示判斷">資料檢核!$C$11</definedName>
    <definedName name="資料輸入_主約年期">資料輸入!$K$9</definedName>
    <definedName name="總檢核">資料檢核!$B$3</definedName>
    <definedName name="簡式商品名稱">OP!$A$24</definedName>
    <definedName name="職業等級">資料輸入!$D$6</definedName>
    <definedName name="職業等級判斷">資料檢核!$G$15</definedName>
  </definedNames>
  <calcPr calcId="191029"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6" i="5" l="1"/>
  <c r="R23" i="2"/>
  <c r="C47" i="5"/>
  <c r="C45" i="5"/>
  <c r="B45" i="5"/>
  <c r="B51" i="2"/>
  <c r="C51" i="2"/>
  <c r="J51" i="2"/>
  <c r="S23" i="2"/>
  <c r="G49" i="5"/>
  <c r="G45" i="5"/>
  <c r="F45" i="5"/>
  <c r="C52" i="2"/>
  <c r="J52" i="2"/>
  <c r="T23" i="2"/>
  <c r="K49" i="5" a="1"/>
  <c r="K49" i="5"/>
  <c r="K45" i="5"/>
  <c r="J45" i="5"/>
  <c r="C53" i="2" a="1"/>
  <c r="C53" i="2"/>
  <c r="J53" i="2"/>
  <c r="E23" i="2"/>
  <c r="J44" i="2"/>
  <c r="C26" i="5"/>
  <c r="L23" i="2"/>
  <c r="C27" i="5"/>
  <c r="C23" i="5"/>
  <c r="B23" i="5"/>
  <c r="C45" i="2"/>
  <c r="J45" i="2"/>
  <c r="G24" i="5"/>
  <c r="M23" i="2"/>
  <c r="G26" i="5"/>
  <c r="G23" i="5"/>
  <c r="F23" i="5"/>
  <c r="C46" i="2"/>
  <c r="J46" i="2"/>
  <c r="K24" i="5"/>
  <c r="N23" i="2"/>
  <c r="K28" i="5"/>
  <c r="K23" i="5"/>
  <c r="J23" i="5"/>
  <c r="C47" i="2"/>
  <c r="J47" i="2"/>
  <c r="C36" i="5"/>
  <c r="O23" i="2"/>
  <c r="C37" i="5"/>
  <c r="C33" i="5"/>
  <c r="B33" i="5"/>
  <c r="C48" i="2"/>
  <c r="J48" i="2"/>
  <c r="G35" i="5"/>
  <c r="P23" i="2"/>
  <c r="G36" i="5"/>
  <c r="G33" i="5"/>
  <c r="F33" i="5"/>
  <c r="C49" i="2"/>
  <c r="J49" i="2"/>
  <c r="K36" i="5"/>
  <c r="K37" i="5"/>
  <c r="Q23" i="2"/>
  <c r="K38" i="5"/>
  <c r="K33" i="5"/>
  <c r="J33" i="5"/>
  <c r="C50" i="2"/>
  <c r="J50" i="2"/>
  <c r="M44" i="2"/>
  <c r="I51" i="2"/>
  <c r="I52" i="2"/>
  <c r="I53" i="2"/>
  <c r="D23" i="2"/>
  <c r="I44" i="2"/>
  <c r="I45" i="2"/>
  <c r="I46" i="2"/>
  <c r="I47" i="2"/>
  <c r="I48" i="2"/>
  <c r="I49" i="2"/>
  <c r="I50" i="2"/>
  <c r="L44" i="2"/>
  <c r="A4" i="4"/>
  <c r="L48" i="5"/>
  <c r="K46" i="5"/>
  <c r="K47" i="5"/>
  <c r="K48" i="5"/>
  <c r="B53" i="2" a="1"/>
  <c r="B53" i="2"/>
  <c r="L42" i="2"/>
  <c r="L41" i="2"/>
  <c r="K44" i="2"/>
  <c r="B23" i="2"/>
  <c r="E44" i="2"/>
  <c r="H53" i="2" a="1"/>
  <c r="H53" i="2"/>
  <c r="X3" i="10"/>
  <c r="C28" i="5"/>
  <c r="B45" i="2"/>
  <c r="B46" i="2"/>
  <c r="K27" i="5"/>
  <c r="B47" i="2"/>
  <c r="B48" i="2"/>
  <c r="B49" i="2"/>
  <c r="B50" i="2"/>
  <c r="G48" i="5"/>
  <c r="B52" i="2"/>
  <c r="G13" i="5"/>
  <c r="G14" i="5"/>
  <c r="G10" i="5"/>
  <c r="F9" i="5"/>
  <c r="K23" i="2"/>
  <c r="C18" i="5"/>
  <c r="C19" i="5"/>
  <c r="C17" i="5"/>
  <c r="H31" i="2"/>
  <c r="C15" i="5"/>
  <c r="F23" i="2"/>
  <c r="F7" i="2"/>
  <c r="G23" i="2"/>
  <c r="C8" i="5"/>
  <c r="H23" i="2"/>
  <c r="I23" i="2"/>
  <c r="C9" i="5"/>
  <c r="C10" i="5"/>
  <c r="C7" i="5"/>
  <c r="G8" i="5"/>
  <c r="G7" i="5"/>
  <c r="C24" i="5"/>
  <c r="C25" i="5"/>
  <c r="G25" i="5" a="1"/>
  <c r="G25" i="5"/>
  <c r="K25" i="5"/>
  <c r="K26" i="5"/>
  <c r="C34" i="5"/>
  <c r="C35" i="5"/>
  <c r="G34" i="5"/>
  <c r="K34" i="5"/>
  <c r="K35" i="5"/>
  <c r="G46" i="5"/>
  <c r="G47" i="5"/>
  <c r="B30" i="1" a="1"/>
  <c r="B30" i="1"/>
  <c r="B5" i="8"/>
  <c r="A4" i="11"/>
  <c r="A5" i="11"/>
  <c r="X2" i="11"/>
  <c r="E45" i="2"/>
  <c r="E46" i="2"/>
  <c r="E47" i="2"/>
  <c r="C23" i="2"/>
  <c r="F44" i="2"/>
  <c r="G44" i="2"/>
  <c r="H44" i="2"/>
  <c r="C28" i="2"/>
  <c r="F45" i="2"/>
  <c r="G45" i="2"/>
  <c r="H45" i="2"/>
  <c r="F46" i="2"/>
  <c r="G46" i="2"/>
  <c r="H46" i="2"/>
  <c r="F47" i="2"/>
  <c r="G47" i="2"/>
  <c r="H47" i="2"/>
  <c r="E48" i="2"/>
  <c r="F48" i="2"/>
  <c r="G48" i="2"/>
  <c r="H48" i="2"/>
  <c r="E49" i="2"/>
  <c r="F49" i="2"/>
  <c r="G49" i="2"/>
  <c r="H49" i="2"/>
  <c r="E50" i="2"/>
  <c r="F50" i="2"/>
  <c r="G50" i="2"/>
  <c r="H50" i="2"/>
  <c r="E51" i="2"/>
  <c r="F51" i="2"/>
  <c r="G51" i="2"/>
  <c r="H51" i="2"/>
  <c r="E52" i="2"/>
  <c r="F52" i="2"/>
  <c r="G52" i="2"/>
  <c r="H52" i="2"/>
  <c r="E53" i="2"/>
  <c r="F53" i="2"/>
  <c r="G53" i="2" a="1"/>
  <c r="X3" i="11"/>
  <c r="X5" i="11"/>
  <c r="A6" i="11"/>
  <c r="X6" i="11"/>
  <c r="A7" i="11"/>
  <c r="X7" i="11"/>
  <c r="A8" i="11"/>
  <c r="X8" i="11"/>
  <c r="A9" i="11"/>
  <c r="X9" i="11"/>
  <c r="A10" i="11"/>
  <c r="X10" i="11"/>
  <c r="A11" i="11"/>
  <c r="X11" i="11"/>
  <c r="A12" i="11"/>
  <c r="X12" i="11"/>
  <c r="A13" i="11"/>
  <c r="X13" i="11"/>
  <c r="A14" i="11"/>
  <c r="X14" i="11"/>
  <c r="A15" i="11"/>
  <c r="X15" i="11"/>
  <c r="A16" i="11"/>
  <c r="X16" i="11"/>
  <c r="A17" i="11"/>
  <c r="X17" i="11"/>
  <c r="A18" i="11"/>
  <c r="X18" i="11"/>
  <c r="A19" i="11"/>
  <c r="X19" i="11"/>
  <c r="A20" i="11"/>
  <c r="X20" i="11"/>
  <c r="A21" i="11"/>
  <c r="X21" i="11"/>
  <c r="A22" i="11"/>
  <c r="X22" i="11"/>
  <c r="A23" i="11"/>
  <c r="X23" i="11"/>
  <c r="A24" i="11"/>
  <c r="X24" i="11"/>
  <c r="A25" i="11"/>
  <c r="X25" i="11"/>
  <c r="A26" i="11"/>
  <c r="X26" i="11"/>
  <c r="A27" i="11"/>
  <c r="X27" i="11"/>
  <c r="A28" i="11"/>
  <c r="X28" i="11"/>
  <c r="A29" i="11"/>
  <c r="X29" i="11"/>
  <c r="A30" i="11"/>
  <c r="X30" i="11"/>
  <c r="A31" i="11"/>
  <c r="X31" i="11"/>
  <c r="A32" i="11"/>
  <c r="X32" i="11"/>
  <c r="A33" i="11"/>
  <c r="X33" i="11"/>
  <c r="A34" i="11"/>
  <c r="X34" i="11"/>
  <c r="A35" i="11"/>
  <c r="X35" i="11"/>
  <c r="A36" i="11"/>
  <c r="X36" i="11"/>
  <c r="A37" i="11"/>
  <c r="X37" i="11"/>
  <c r="A38" i="11"/>
  <c r="X38" i="11"/>
  <c r="A39" i="11"/>
  <c r="X39" i="11"/>
  <c r="A40" i="11"/>
  <c r="X40" i="11"/>
  <c r="A41" i="11"/>
  <c r="X41" i="11"/>
  <c r="A42" i="11"/>
  <c r="X42" i="11"/>
  <c r="A43" i="11"/>
  <c r="X43" i="11"/>
  <c r="A44" i="11"/>
  <c r="X44" i="11"/>
  <c r="A45" i="11"/>
  <c r="X45" i="11"/>
  <c r="A46" i="11"/>
  <c r="X46" i="11"/>
  <c r="A47" i="11"/>
  <c r="X47" i="11"/>
  <c r="A48" i="11"/>
  <c r="X48" i="11"/>
  <c r="A49" i="11"/>
  <c r="X49" i="11"/>
  <c r="A50" i="11"/>
  <c r="X50" i="11"/>
  <c r="A51" i="11"/>
  <c r="X51" i="11"/>
  <c r="A52" i="11"/>
  <c r="X52" i="11"/>
  <c r="A53" i="11"/>
  <c r="X53" i="11"/>
  <c r="A54" i="11"/>
  <c r="X54" i="11"/>
  <c r="A55" i="11"/>
  <c r="X55" i="11"/>
  <c r="A56" i="11"/>
  <c r="X56" i="11"/>
  <c r="A57" i="11"/>
  <c r="X57" i="11"/>
  <c r="A58" i="11"/>
  <c r="X58" i="11"/>
  <c r="A59" i="11"/>
  <c r="X59" i="11"/>
  <c r="A60" i="11"/>
  <c r="X60" i="11"/>
  <c r="A61" i="11"/>
  <c r="X61" i="11"/>
  <c r="A62" i="11"/>
  <c r="X62" i="11"/>
  <c r="A63" i="11"/>
  <c r="X63" i="11"/>
  <c r="A64" i="11"/>
  <c r="X64" i="11"/>
  <c r="A65" i="11"/>
  <c r="X65" i="11"/>
  <c r="A66" i="11"/>
  <c r="X66" i="11"/>
  <c r="A67" i="11"/>
  <c r="X67" i="11"/>
  <c r="A68" i="11"/>
  <c r="X68" i="11"/>
  <c r="A69" i="11"/>
  <c r="X69" i="11"/>
  <c r="A70" i="11"/>
  <c r="X70" i="11"/>
  <c r="A71" i="11"/>
  <c r="X71" i="11"/>
  <c r="A72" i="11"/>
  <c r="X72" i="11"/>
  <c r="A73" i="11"/>
  <c r="X73" i="11"/>
  <c r="A74" i="11"/>
  <c r="X74" i="11"/>
  <c r="A75" i="11"/>
  <c r="X75" i="11"/>
  <c r="A76" i="11"/>
  <c r="X76" i="11"/>
  <c r="A77" i="11"/>
  <c r="X77" i="11"/>
  <c r="A78" i="11"/>
  <c r="X78" i="11"/>
  <c r="A79" i="11"/>
  <c r="X79" i="11"/>
  <c r="A80" i="11"/>
  <c r="X80" i="11"/>
  <c r="A81" i="11"/>
  <c r="X81" i="11"/>
  <c r="A82" i="11"/>
  <c r="X82" i="11"/>
  <c r="A83" i="11"/>
  <c r="X83" i="11"/>
  <c r="A84" i="11"/>
  <c r="X84" i="11"/>
  <c r="A85" i="11"/>
  <c r="X85" i="11"/>
  <c r="A86" i="11"/>
  <c r="X86" i="11"/>
  <c r="A87" i="11"/>
  <c r="X87" i="11"/>
  <c r="A88" i="11"/>
  <c r="X88" i="11"/>
  <c r="A89" i="11"/>
  <c r="X89" i="11"/>
  <c r="A90" i="11"/>
  <c r="X90" i="11"/>
  <c r="X4" i="11"/>
  <c r="K2" i="11"/>
  <c r="K3" i="11"/>
  <c r="K5" i="11"/>
  <c r="K6" i="11"/>
  <c r="K7" i="11"/>
  <c r="K8" i="11"/>
  <c r="K9" i="11"/>
  <c r="K10" i="11"/>
  <c r="K11" i="11"/>
  <c r="K12" i="11"/>
  <c r="K13" i="11"/>
  <c r="K14" i="11"/>
  <c r="K15" i="11"/>
  <c r="K16" i="11"/>
  <c r="K17" i="11"/>
  <c r="K18"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K4" i="11"/>
  <c r="A5" i="4"/>
  <c r="X2" i="4"/>
  <c r="X3" i="4"/>
  <c r="BF2" i="6"/>
  <c r="BF3" i="6"/>
  <c r="BF4" i="6"/>
  <c r="BF5" i="6"/>
  <c r="BF6" i="6"/>
  <c r="BF7" i="6"/>
  <c r="BF8" i="6"/>
  <c r="BF9" i="6"/>
  <c r="BF10" i="6"/>
  <c r="BF11" i="6"/>
  <c r="BF12" i="6"/>
  <c r="BF13" i="6"/>
  <c r="BF14" i="6"/>
  <c r="BF15" i="6"/>
  <c r="BF16" i="6"/>
  <c r="BF17" i="6"/>
  <c r="BF18" i="6"/>
  <c r="BF19" i="6"/>
  <c r="BF20" i="6"/>
  <c r="BF21" i="6"/>
  <c r="BF22" i="6"/>
  <c r="BF23" i="6"/>
  <c r="BF24" i="6"/>
  <c r="BF25" i="6"/>
  <c r="BF26" i="6"/>
  <c r="BF27" i="6"/>
  <c r="BF28" i="6"/>
  <c r="BF29" i="6"/>
  <c r="BF30" i="6"/>
  <c r="BF31" i="6"/>
  <c r="BF32" i="6"/>
  <c r="BF33" i="6"/>
  <c r="BF34" i="6"/>
  <c r="BF35" i="6"/>
  <c r="BF36" i="6"/>
  <c r="BF37" i="6"/>
  <c r="BF38" i="6"/>
  <c r="BF39" i="6"/>
  <c r="BF40" i="6"/>
  <c r="BF41" i="6"/>
  <c r="BF42" i="6"/>
  <c r="BF43" i="6"/>
  <c r="BF44" i="6"/>
  <c r="BF45" i="6"/>
  <c r="BF46" i="6"/>
  <c r="BF47" i="6"/>
  <c r="BF48" i="6"/>
  <c r="BF49" i="6"/>
  <c r="BF50" i="6"/>
  <c r="BF51" i="6"/>
  <c r="BF52" i="6"/>
  <c r="BF53" i="6"/>
  <c r="BF54" i="6"/>
  <c r="BF55" i="6"/>
  <c r="BF56" i="6"/>
  <c r="BF57" i="6"/>
  <c r="BF58" i="6"/>
  <c r="BF59" i="6"/>
  <c r="BF60" i="6"/>
  <c r="BF61" i="6"/>
  <c r="BF62" i="6"/>
  <c r="BF63" i="6"/>
  <c r="BF64" i="6"/>
  <c r="BF65" i="6"/>
  <c r="BF66" i="6"/>
  <c r="BF67" i="6"/>
  <c r="BF68" i="6"/>
  <c r="BF69" i="6"/>
  <c r="BF70" i="6"/>
  <c r="BF71" i="6"/>
  <c r="BF72" i="6"/>
  <c r="BF73" i="6"/>
  <c r="BF74" i="6"/>
  <c r="BF75" i="6"/>
  <c r="BF76" i="6"/>
  <c r="BF77" i="6"/>
  <c r="BF78" i="6"/>
  <c r="BF79" i="6"/>
  <c r="BF80" i="6"/>
  <c r="BF81" i="6"/>
  <c r="BF82" i="6"/>
  <c r="BF83" i="6"/>
  <c r="BF84" i="6"/>
  <c r="BF85" i="6"/>
  <c r="BF86" i="6"/>
  <c r="BF87" i="6"/>
  <c r="BF88" i="6"/>
  <c r="BF89" i="6"/>
  <c r="BF90" i="6"/>
  <c r="BF91" i="6"/>
  <c r="BF92" i="6"/>
  <c r="BF93" i="6"/>
  <c r="BF94" i="6"/>
  <c r="BF95" i="6"/>
  <c r="BF96" i="6"/>
  <c r="BF97" i="6"/>
  <c r="BF98" i="6"/>
  <c r="BF99" i="6"/>
  <c r="BF100" i="6"/>
  <c r="BF101" i="6"/>
  <c r="BF102" i="6"/>
  <c r="BF103" i="6"/>
  <c r="BF104" i="6"/>
  <c r="BF105" i="6"/>
  <c r="BF106" i="6"/>
  <c r="BF107" i="6"/>
  <c r="BF108" i="6"/>
  <c r="BF109" i="6"/>
  <c r="BF110" i="6"/>
  <c r="BF111" i="6"/>
  <c r="BF112" i="6"/>
  <c r="BF113" i="6"/>
  <c r="BF114" i="6"/>
  <c r="BF115" i="6"/>
  <c r="BF116" i="6"/>
  <c r="BF117" i="6"/>
  <c r="BF118" i="6"/>
  <c r="BF119" i="6"/>
  <c r="BF120" i="6"/>
  <c r="BF121" i="6"/>
  <c r="BF122" i="6"/>
  <c r="BF123" i="6"/>
  <c r="BF124" i="6"/>
  <c r="BF125" i="6"/>
  <c r="BF126" i="6"/>
  <c r="BF127" i="6"/>
  <c r="BF128" i="6"/>
  <c r="BF129" i="6"/>
  <c r="BF130" i="6"/>
  <c r="BF131" i="6"/>
  <c r="BF132" i="6"/>
  <c r="BF133" i="6"/>
  <c r="BF134" i="6"/>
  <c r="BF135" i="6"/>
  <c r="BF136" i="6"/>
  <c r="BF137" i="6"/>
  <c r="BF138" i="6"/>
  <c r="BF139" i="6"/>
  <c r="BF140" i="6"/>
  <c r="BF141" i="6"/>
  <c r="BF142" i="6"/>
  <c r="BF143" i="6"/>
  <c r="BF144" i="6"/>
  <c r="BF145" i="6"/>
  <c r="BF146" i="6"/>
  <c r="BF147" i="6"/>
  <c r="BF148" i="6"/>
  <c r="BF149" i="6"/>
  <c r="BF150" i="6"/>
  <c r="BF151" i="6"/>
  <c r="BF152" i="6"/>
  <c r="BF153" i="6"/>
  <c r="BF154" i="6"/>
  <c r="BF155" i="6"/>
  <c r="BF156" i="6"/>
  <c r="BF157" i="6"/>
  <c r="BF158" i="6"/>
  <c r="BF159" i="6"/>
  <c r="BF160" i="6"/>
  <c r="BF161" i="6"/>
  <c r="BF162" i="6"/>
  <c r="BF163" i="6"/>
  <c r="BF164" i="6"/>
  <c r="BF165" i="6"/>
  <c r="BF166" i="6"/>
  <c r="BF167" i="6"/>
  <c r="BF168" i="6"/>
  <c r="BF169" i="6"/>
  <c r="BF170" i="6"/>
  <c r="BF171" i="6"/>
  <c r="BF172" i="6"/>
  <c r="BF173" i="6"/>
  <c r="X5" i="4"/>
  <c r="A6" i="4"/>
  <c r="X6" i="4"/>
  <c r="A7" i="4"/>
  <c r="X7" i="4"/>
  <c r="A8" i="4"/>
  <c r="X8" i="4"/>
  <c r="A9" i="4"/>
  <c r="X9" i="4"/>
  <c r="A10" i="4"/>
  <c r="X10" i="4"/>
  <c r="A11" i="4"/>
  <c r="X11" i="4"/>
  <c r="A12" i="4"/>
  <c r="X12" i="4"/>
  <c r="A13" i="4"/>
  <c r="X13" i="4"/>
  <c r="A14" i="4"/>
  <c r="X14" i="4"/>
  <c r="A15" i="4"/>
  <c r="X15" i="4"/>
  <c r="A16" i="4"/>
  <c r="X16" i="4"/>
  <c r="A17" i="4"/>
  <c r="X17" i="4"/>
  <c r="A18" i="4"/>
  <c r="X18" i="4"/>
  <c r="A19" i="4"/>
  <c r="X19" i="4"/>
  <c r="A20" i="4"/>
  <c r="X20" i="4"/>
  <c r="A21" i="4"/>
  <c r="X21" i="4"/>
  <c r="A22" i="4"/>
  <c r="X22" i="4"/>
  <c r="A23" i="4"/>
  <c r="X23" i="4"/>
  <c r="A24" i="4"/>
  <c r="X24" i="4"/>
  <c r="A25" i="4"/>
  <c r="X25" i="4"/>
  <c r="A26" i="4"/>
  <c r="X26" i="4"/>
  <c r="A27" i="4"/>
  <c r="X27" i="4"/>
  <c r="A28" i="4"/>
  <c r="X28" i="4"/>
  <c r="A29" i="4"/>
  <c r="X29" i="4"/>
  <c r="A30" i="4"/>
  <c r="X30" i="4"/>
  <c r="A31" i="4"/>
  <c r="X31" i="4"/>
  <c r="A32" i="4"/>
  <c r="X32" i="4"/>
  <c r="A33" i="4"/>
  <c r="X33" i="4"/>
  <c r="A34" i="4"/>
  <c r="X34" i="4"/>
  <c r="A35" i="4"/>
  <c r="X35" i="4"/>
  <c r="A36" i="4"/>
  <c r="X36" i="4"/>
  <c r="A37" i="4"/>
  <c r="X37" i="4"/>
  <c r="A38" i="4"/>
  <c r="X38" i="4"/>
  <c r="A39" i="4"/>
  <c r="X39" i="4"/>
  <c r="A40" i="4"/>
  <c r="X40" i="4"/>
  <c r="A41" i="4"/>
  <c r="X41" i="4"/>
  <c r="A42" i="4"/>
  <c r="X42" i="4"/>
  <c r="A43" i="4"/>
  <c r="X43" i="4"/>
  <c r="A44" i="4"/>
  <c r="X44" i="4"/>
  <c r="A45" i="4"/>
  <c r="X45" i="4"/>
  <c r="A46" i="4"/>
  <c r="X46" i="4"/>
  <c r="A47" i="4"/>
  <c r="X47" i="4"/>
  <c r="A48" i="4"/>
  <c r="X48" i="4"/>
  <c r="A49" i="4"/>
  <c r="X49" i="4"/>
  <c r="A50" i="4"/>
  <c r="X50" i="4"/>
  <c r="A51" i="4"/>
  <c r="X51" i="4"/>
  <c r="A52" i="4"/>
  <c r="X52" i="4"/>
  <c r="A53" i="4"/>
  <c r="X53" i="4"/>
  <c r="A54" i="4"/>
  <c r="X54" i="4"/>
  <c r="A55" i="4"/>
  <c r="X55" i="4"/>
  <c r="A56" i="4"/>
  <c r="X56" i="4"/>
  <c r="A57" i="4"/>
  <c r="X57" i="4"/>
  <c r="A58" i="4"/>
  <c r="X58" i="4"/>
  <c r="A59" i="4"/>
  <c r="X59" i="4"/>
  <c r="A60" i="4"/>
  <c r="X60" i="4"/>
  <c r="A61" i="4"/>
  <c r="X61" i="4"/>
  <c r="A62" i="4"/>
  <c r="X62" i="4"/>
  <c r="A63" i="4"/>
  <c r="X63" i="4"/>
  <c r="A64" i="4"/>
  <c r="X64" i="4"/>
  <c r="A65" i="4"/>
  <c r="X65" i="4"/>
  <c r="A66" i="4"/>
  <c r="X66" i="4"/>
  <c r="A67" i="4"/>
  <c r="X67" i="4"/>
  <c r="A68" i="4"/>
  <c r="X68" i="4"/>
  <c r="A69" i="4"/>
  <c r="X69" i="4"/>
  <c r="A70" i="4"/>
  <c r="X70" i="4"/>
  <c r="A71" i="4"/>
  <c r="X71" i="4"/>
  <c r="A72" i="4"/>
  <c r="X72" i="4"/>
  <c r="A73" i="4"/>
  <c r="X73" i="4"/>
  <c r="A74" i="4"/>
  <c r="X74" i="4"/>
  <c r="A75" i="4"/>
  <c r="X75" i="4"/>
  <c r="A76" i="4"/>
  <c r="X76" i="4"/>
  <c r="A77" i="4"/>
  <c r="X77" i="4"/>
  <c r="A78" i="4"/>
  <c r="X78" i="4"/>
  <c r="A79" i="4"/>
  <c r="X79" i="4"/>
  <c r="A80" i="4"/>
  <c r="X80" i="4"/>
  <c r="A81" i="4"/>
  <c r="X81" i="4"/>
  <c r="A82" i="4"/>
  <c r="X82" i="4"/>
  <c r="A83" i="4"/>
  <c r="X83" i="4"/>
  <c r="A84" i="4"/>
  <c r="X84" i="4"/>
  <c r="A85" i="4"/>
  <c r="X85" i="4"/>
  <c r="A86" i="4"/>
  <c r="X86" i="4"/>
  <c r="A87" i="4"/>
  <c r="X87" i="4"/>
  <c r="A88" i="4"/>
  <c r="X88" i="4"/>
  <c r="A89" i="4"/>
  <c r="X89" i="4"/>
  <c r="A90" i="4"/>
  <c r="X90" i="4"/>
  <c r="X4" i="4"/>
  <c r="K2" i="4"/>
  <c r="K3" i="4"/>
  <c r="K4" i="4"/>
  <c r="K5" i="4"/>
  <c r="K6" i="4"/>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A4" i="10"/>
  <c r="A5" i="10"/>
  <c r="X2" i="10"/>
  <c r="X5" i="10"/>
  <c r="A6" i="10"/>
  <c r="X6" i="10"/>
  <c r="A7" i="10"/>
  <c r="X7" i="10"/>
  <c r="A8" i="10"/>
  <c r="X8" i="10"/>
  <c r="A9" i="10"/>
  <c r="X9" i="10"/>
  <c r="A10" i="10"/>
  <c r="X10" i="10"/>
  <c r="A11" i="10"/>
  <c r="X11" i="10"/>
  <c r="A12" i="10"/>
  <c r="X12" i="10"/>
  <c r="A13" i="10"/>
  <c r="X13" i="10"/>
  <c r="A14" i="10"/>
  <c r="X14" i="10"/>
  <c r="A15" i="10"/>
  <c r="X15" i="10"/>
  <c r="A16" i="10"/>
  <c r="X16" i="10"/>
  <c r="A17" i="10"/>
  <c r="X17" i="10"/>
  <c r="A18" i="10"/>
  <c r="X18" i="10"/>
  <c r="A19" i="10"/>
  <c r="X19" i="10"/>
  <c r="A20" i="10"/>
  <c r="X20" i="10"/>
  <c r="A21" i="10"/>
  <c r="X21" i="10"/>
  <c r="A22" i="10"/>
  <c r="X22" i="10"/>
  <c r="A23" i="10"/>
  <c r="X23" i="10"/>
  <c r="A24" i="10"/>
  <c r="X24" i="10"/>
  <c r="A25" i="10"/>
  <c r="X25" i="10"/>
  <c r="A26" i="10"/>
  <c r="X26" i="10"/>
  <c r="A27" i="10"/>
  <c r="X27" i="10"/>
  <c r="A28" i="10"/>
  <c r="X28" i="10"/>
  <c r="A29" i="10"/>
  <c r="X29" i="10"/>
  <c r="A30" i="10"/>
  <c r="X30" i="10"/>
  <c r="A31" i="10"/>
  <c r="X31" i="10"/>
  <c r="A32" i="10"/>
  <c r="X32" i="10"/>
  <c r="A33" i="10"/>
  <c r="X33" i="10"/>
  <c r="A34" i="10"/>
  <c r="X34" i="10"/>
  <c r="A35" i="10"/>
  <c r="X35" i="10"/>
  <c r="A36" i="10"/>
  <c r="X36" i="10"/>
  <c r="A37" i="10"/>
  <c r="X37" i="10"/>
  <c r="A38" i="10"/>
  <c r="X38" i="10"/>
  <c r="A39" i="10"/>
  <c r="X39" i="10"/>
  <c r="A40" i="10"/>
  <c r="X40" i="10"/>
  <c r="A41" i="10"/>
  <c r="X41" i="10"/>
  <c r="A42" i="10"/>
  <c r="X42" i="10"/>
  <c r="A43" i="10"/>
  <c r="X43" i="10"/>
  <c r="A44" i="10"/>
  <c r="X44" i="10"/>
  <c r="A45" i="10"/>
  <c r="X45" i="10"/>
  <c r="A46" i="10"/>
  <c r="X46" i="10"/>
  <c r="A47" i="10"/>
  <c r="X47" i="10"/>
  <c r="A48" i="10"/>
  <c r="X48" i="10"/>
  <c r="A49" i="10"/>
  <c r="X49" i="10"/>
  <c r="A50" i="10"/>
  <c r="X50" i="10"/>
  <c r="A51" i="10"/>
  <c r="X51" i="10"/>
  <c r="A52" i="10"/>
  <c r="X52" i="10"/>
  <c r="A53" i="10"/>
  <c r="X53" i="10"/>
  <c r="A54" i="10"/>
  <c r="X54" i="10"/>
  <c r="A55" i="10"/>
  <c r="X55" i="10"/>
  <c r="A56" i="10"/>
  <c r="X56" i="10"/>
  <c r="A57" i="10"/>
  <c r="X57" i="10"/>
  <c r="A58" i="10"/>
  <c r="X58" i="10"/>
  <c r="A59" i="10"/>
  <c r="X59" i="10"/>
  <c r="A60" i="10"/>
  <c r="X60" i="10"/>
  <c r="A61" i="10"/>
  <c r="X61" i="10"/>
  <c r="A62" i="10"/>
  <c r="X62" i="10"/>
  <c r="A63" i="10"/>
  <c r="X63" i="10"/>
  <c r="A64" i="10"/>
  <c r="X64" i="10"/>
  <c r="A65" i="10"/>
  <c r="X65" i="10"/>
  <c r="A66" i="10"/>
  <c r="X66" i="10"/>
  <c r="A67" i="10"/>
  <c r="X67" i="10"/>
  <c r="A68" i="10"/>
  <c r="X68" i="10"/>
  <c r="A69" i="10"/>
  <c r="X69" i="10"/>
  <c r="A70" i="10"/>
  <c r="X70" i="10"/>
  <c r="A71" i="10"/>
  <c r="X71" i="10"/>
  <c r="A72" i="10"/>
  <c r="X72" i="10"/>
  <c r="A73" i="10"/>
  <c r="X73" i="10"/>
  <c r="A74" i="10"/>
  <c r="X74" i="10"/>
  <c r="A75" i="10"/>
  <c r="X75" i="10"/>
  <c r="A76" i="10"/>
  <c r="X76" i="10"/>
  <c r="A77" i="10"/>
  <c r="X77" i="10"/>
  <c r="A78" i="10"/>
  <c r="X78" i="10"/>
  <c r="A79" i="10"/>
  <c r="X79" i="10"/>
  <c r="A80" i="10"/>
  <c r="X80" i="10"/>
  <c r="A81" i="10"/>
  <c r="X81" i="10"/>
  <c r="A82" i="10"/>
  <c r="X82" i="10"/>
  <c r="A83" i="10"/>
  <c r="X83" i="10"/>
  <c r="A84" i="10"/>
  <c r="X84" i="10"/>
  <c r="A85" i="10"/>
  <c r="X85" i="10"/>
  <c r="A86" i="10"/>
  <c r="X86" i="10"/>
  <c r="A87" i="10"/>
  <c r="X87" i="10"/>
  <c r="A88" i="10"/>
  <c r="X88" i="10"/>
  <c r="A89" i="10"/>
  <c r="X89" i="10"/>
  <c r="A90" i="10"/>
  <c r="X90" i="10"/>
  <c r="X4" i="10"/>
  <c r="B3" i="5"/>
  <c r="B2" i="10"/>
  <c r="B3" i="10"/>
  <c r="C11" i="5"/>
  <c r="J23" i="2"/>
  <c r="B4" i="10"/>
  <c r="K2" i="10"/>
  <c r="K3" i="10"/>
  <c r="K5" i="10"/>
  <c r="K6" i="10"/>
  <c r="K7" i="10"/>
  <c r="K8" i="10"/>
  <c r="K9" i="10"/>
  <c r="K10" i="10"/>
  <c r="K11" i="10"/>
  <c r="K12" i="10"/>
  <c r="K13" i="10"/>
  <c r="K14" i="10"/>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8" i="10"/>
  <c r="K89" i="10"/>
  <c r="K90" i="10"/>
  <c r="K4" i="10"/>
  <c r="K50" i="5" a="1"/>
  <c r="K50" i="5"/>
  <c r="F65" i="1"/>
  <c r="F64" i="1"/>
  <c r="L49" i="5"/>
  <c r="L46" i="5"/>
  <c r="L47" i="5"/>
  <c r="H27" i="1"/>
  <c r="D27" i="1"/>
  <c r="G53" i="2"/>
  <c r="D52" i="2"/>
  <c r="A52" i="2"/>
  <c r="D53" i="2"/>
  <c r="A53" i="2"/>
  <c r="G17" i="1"/>
  <c r="D11" i="5"/>
  <c r="E31" i="2"/>
  <c r="AQ185" i="7"/>
  <c r="AQ184" i="7"/>
  <c r="AQ183" i="7"/>
  <c r="AQ182" i="7"/>
  <c r="AQ181" i="7"/>
  <c r="AQ180" i="7"/>
  <c r="AQ179" i="7"/>
  <c r="AQ178" i="7"/>
  <c r="AQ177" i="7"/>
  <c r="AQ176" i="7"/>
  <c r="AQ175" i="7"/>
  <c r="AQ174" i="7"/>
  <c r="AQ173" i="7"/>
  <c r="AQ172" i="7"/>
  <c r="AQ171" i="7"/>
  <c r="AQ170" i="7"/>
  <c r="AQ169" i="7"/>
  <c r="AQ168" i="7"/>
  <c r="AQ167" i="7"/>
  <c r="AQ166" i="7"/>
  <c r="AQ165" i="7"/>
  <c r="AQ164" i="7"/>
  <c r="AQ163" i="7"/>
  <c r="AQ162" i="7"/>
  <c r="AQ161" i="7"/>
  <c r="AQ160" i="7"/>
  <c r="AQ159" i="7"/>
  <c r="AQ158" i="7"/>
  <c r="AQ157" i="7"/>
  <c r="AQ156" i="7"/>
  <c r="AQ155" i="7"/>
  <c r="AQ154" i="7"/>
  <c r="AQ153" i="7"/>
  <c r="AQ152" i="7"/>
  <c r="AQ151" i="7"/>
  <c r="AQ150" i="7"/>
  <c r="AQ149" i="7"/>
  <c r="AQ148" i="7"/>
  <c r="AQ147" i="7"/>
  <c r="AQ146" i="7"/>
  <c r="AQ145" i="7"/>
  <c r="AQ144" i="7"/>
  <c r="AQ143" i="7"/>
  <c r="AQ142" i="7"/>
  <c r="AQ141" i="7"/>
  <c r="AQ140" i="7"/>
  <c r="AQ139" i="7"/>
  <c r="AQ138" i="7"/>
  <c r="AQ137" i="7"/>
  <c r="AQ136" i="7"/>
  <c r="AQ135" i="7"/>
  <c r="AQ134" i="7"/>
  <c r="AQ133" i="7"/>
  <c r="AQ132" i="7"/>
  <c r="AQ131" i="7"/>
  <c r="AQ130" i="7"/>
  <c r="AQ129" i="7"/>
  <c r="AQ128" i="7"/>
  <c r="AQ127" i="7"/>
  <c r="AQ126" i="7"/>
  <c r="AQ125" i="7"/>
  <c r="AQ124" i="7"/>
  <c r="AQ123" i="7"/>
  <c r="AQ122" i="7"/>
  <c r="AQ121" i="7"/>
  <c r="AQ120" i="7"/>
  <c r="AQ119" i="7"/>
  <c r="AQ118" i="7"/>
  <c r="AQ117" i="7"/>
  <c r="AQ116" i="7"/>
  <c r="AQ115" i="7"/>
  <c r="AQ114" i="7"/>
  <c r="AQ113" i="7"/>
  <c r="AQ112" i="7"/>
  <c r="AQ111" i="7"/>
  <c r="AQ110" i="7"/>
  <c r="AQ109" i="7"/>
  <c r="AQ108" i="7"/>
  <c r="AQ107" i="7"/>
  <c r="AQ106" i="7"/>
  <c r="AQ105" i="7"/>
  <c r="AQ104" i="7"/>
  <c r="AQ103" i="7"/>
  <c r="AQ102" i="7"/>
  <c r="AQ101" i="7"/>
  <c r="AQ100" i="7"/>
  <c r="AQ99" i="7"/>
  <c r="AQ98" i="7"/>
  <c r="AQ97" i="7"/>
  <c r="AQ96" i="7"/>
  <c r="AQ95" i="7"/>
  <c r="AQ94" i="7"/>
  <c r="AQ93" i="7"/>
  <c r="AQ92" i="7"/>
  <c r="AQ91" i="7"/>
  <c r="AQ90" i="7"/>
  <c r="AQ89" i="7"/>
  <c r="AQ88" i="7"/>
  <c r="AQ87" i="7"/>
  <c r="AQ86" i="7"/>
  <c r="AQ85" i="7"/>
  <c r="AQ84" i="7"/>
  <c r="AQ83" i="7"/>
  <c r="AQ82" i="7"/>
  <c r="AQ81" i="7"/>
  <c r="AQ80" i="7"/>
  <c r="AQ79" i="7"/>
  <c r="AQ78" i="7"/>
  <c r="AQ77" i="7"/>
  <c r="AQ76" i="7"/>
  <c r="AQ75" i="7"/>
  <c r="AQ74" i="7"/>
  <c r="AQ73" i="7"/>
  <c r="AQ72" i="7"/>
  <c r="AQ71" i="7"/>
  <c r="AQ70" i="7"/>
  <c r="AQ69" i="7"/>
  <c r="AQ68" i="7"/>
  <c r="AQ67" i="7"/>
  <c r="AQ66" i="7"/>
  <c r="AQ65" i="7"/>
  <c r="AQ64" i="7"/>
  <c r="AQ63" i="7"/>
  <c r="AQ62" i="7"/>
  <c r="AQ61" i="7"/>
  <c r="AQ60" i="7"/>
  <c r="AQ59" i="7"/>
  <c r="AQ58" i="7"/>
  <c r="AQ57" i="7"/>
  <c r="AQ56" i="7"/>
  <c r="AQ55" i="7"/>
  <c r="AQ54" i="7"/>
  <c r="AQ53" i="7"/>
  <c r="AQ52" i="7"/>
  <c r="AQ51" i="7"/>
  <c r="AQ50" i="7"/>
  <c r="AQ49" i="7"/>
  <c r="AQ48" i="7"/>
  <c r="AQ47" i="7"/>
  <c r="AQ46" i="7"/>
  <c r="AQ45" i="7"/>
  <c r="AQ44" i="7"/>
  <c r="AQ43" i="7"/>
  <c r="AQ42" i="7"/>
  <c r="AQ41" i="7"/>
  <c r="AQ40" i="7"/>
  <c r="AQ39" i="7"/>
  <c r="AQ38" i="7"/>
  <c r="AQ37" i="7"/>
  <c r="AQ36" i="7"/>
  <c r="AQ35" i="7"/>
  <c r="AQ34" i="7"/>
  <c r="AQ33" i="7"/>
  <c r="AQ32" i="7"/>
  <c r="AQ31" i="7"/>
  <c r="AQ30" i="7"/>
  <c r="AQ29" i="7"/>
  <c r="AQ28" i="7"/>
  <c r="AQ27" i="7"/>
  <c r="AQ26" i="7"/>
  <c r="AQ25" i="7"/>
  <c r="AQ24" i="7"/>
  <c r="AQ23" i="7"/>
  <c r="AQ22" i="7"/>
  <c r="AQ21" i="7"/>
  <c r="AQ20" i="7"/>
  <c r="AQ19" i="7"/>
  <c r="AQ18" i="7"/>
  <c r="AQ17" i="7"/>
  <c r="AQ16" i="7"/>
  <c r="AQ15" i="7"/>
  <c r="AQ14" i="7"/>
  <c r="AQ13" i="7"/>
  <c r="AQ12" i="7"/>
  <c r="AQ11" i="7"/>
  <c r="AQ10" i="7"/>
  <c r="AQ9" i="7"/>
  <c r="AQ8" i="7"/>
  <c r="AQ7" i="7"/>
  <c r="AQ6" i="7"/>
  <c r="AQ5" i="7"/>
  <c r="AQ4" i="7"/>
  <c r="AQ3" i="7"/>
  <c r="AQ2" i="7"/>
  <c r="F6" i="2"/>
  <c r="F5" i="2"/>
  <c r="AJ278" i="7"/>
  <c r="AJ279" i="7"/>
  <c r="AJ280" i="7"/>
  <c r="AJ281" i="7"/>
  <c r="AJ282" i="7"/>
  <c r="AJ283" i="7"/>
  <c r="AJ284" i="7"/>
  <c r="AJ285" i="7"/>
  <c r="AJ286" i="7"/>
  <c r="AJ287" i="7"/>
  <c r="AJ288" i="7"/>
  <c r="AJ289" i="7"/>
  <c r="AJ290" i="7"/>
  <c r="AJ291" i="7"/>
  <c r="AJ292" i="7"/>
  <c r="AJ293" i="7"/>
  <c r="AJ294" i="7"/>
  <c r="AJ295" i="7"/>
  <c r="AJ296" i="7"/>
  <c r="AJ297" i="7"/>
  <c r="AJ298" i="7"/>
  <c r="AJ299" i="7"/>
  <c r="AJ300" i="7"/>
  <c r="AJ301" i="7"/>
  <c r="AJ302" i="7"/>
  <c r="AJ303" i="7"/>
  <c r="AJ304" i="7"/>
  <c r="AJ305" i="7"/>
  <c r="AJ306" i="7"/>
  <c r="AJ307" i="7"/>
  <c r="AJ308" i="7"/>
  <c r="AJ309" i="7"/>
  <c r="AJ310" i="7"/>
  <c r="AJ311" i="7"/>
  <c r="AJ312" i="7"/>
  <c r="AJ313" i="7"/>
  <c r="AJ314" i="7"/>
  <c r="AJ315" i="7"/>
  <c r="AJ316" i="7"/>
  <c r="AJ317" i="7"/>
  <c r="AJ318" i="7"/>
  <c r="AJ319" i="7"/>
  <c r="AJ320" i="7"/>
  <c r="AJ321" i="7"/>
  <c r="AJ322" i="7"/>
  <c r="AJ323" i="7"/>
  <c r="AJ324" i="7"/>
  <c r="AJ325" i="7"/>
  <c r="AJ326" i="7"/>
  <c r="AJ327" i="7"/>
  <c r="AJ328" i="7"/>
  <c r="AJ329" i="7"/>
  <c r="AJ330" i="7"/>
  <c r="AJ331" i="7"/>
  <c r="AJ332" i="7"/>
  <c r="AJ333" i="7"/>
  <c r="AJ334" i="7"/>
  <c r="AJ335" i="7"/>
  <c r="AJ336" i="7"/>
  <c r="AJ337" i="7"/>
  <c r="AJ338" i="7"/>
  <c r="AJ339" i="7"/>
  <c r="AJ340" i="7"/>
  <c r="AJ341" i="7"/>
  <c r="AJ342" i="7"/>
  <c r="AJ343" i="7"/>
  <c r="AJ344" i="7"/>
  <c r="AJ345" i="7"/>
  <c r="AJ346" i="7"/>
  <c r="AJ347" i="7"/>
  <c r="AJ348" i="7"/>
  <c r="AJ349" i="7"/>
  <c r="AJ350" i="7"/>
  <c r="AJ351" i="7"/>
  <c r="AJ352" i="7"/>
  <c r="AJ353" i="7"/>
  <c r="AJ354" i="7"/>
  <c r="AJ355" i="7"/>
  <c r="AJ356" i="7"/>
  <c r="AJ357" i="7"/>
  <c r="AJ358" i="7"/>
  <c r="AJ359" i="7"/>
  <c r="AJ360" i="7"/>
  <c r="AJ361" i="7"/>
  <c r="AJ362" i="7"/>
  <c r="AJ363" i="7"/>
  <c r="AJ364" i="7"/>
  <c r="AJ365" i="7"/>
  <c r="AJ366" i="7"/>
  <c r="AJ367" i="7"/>
  <c r="AJ368" i="7"/>
  <c r="AJ369" i="7"/>
  <c r="AJ370" i="7"/>
  <c r="AJ371" i="7"/>
  <c r="AJ372" i="7"/>
  <c r="AJ373" i="7"/>
  <c r="AJ374" i="7"/>
  <c r="AJ375" i="7"/>
  <c r="AJ376" i="7"/>
  <c r="AJ377" i="7"/>
  <c r="AJ378" i="7"/>
  <c r="AJ379" i="7"/>
  <c r="AJ380" i="7"/>
  <c r="AJ381" i="7"/>
  <c r="AJ3" i="7"/>
  <c r="AJ4" i="7"/>
  <c r="AJ5" i="7"/>
  <c r="AJ6" i="7"/>
  <c r="AJ7" i="7"/>
  <c r="AJ8" i="7"/>
  <c r="AJ9" i="7"/>
  <c r="AJ10" i="7"/>
  <c r="AJ11" i="7"/>
  <c r="AJ12" i="7"/>
  <c r="AJ13" i="7"/>
  <c r="AJ14" i="7"/>
  <c r="AJ15" i="7"/>
  <c r="AJ16" i="7"/>
  <c r="AJ17" i="7"/>
  <c r="AJ18" i="7"/>
  <c r="AJ19" i="7"/>
  <c r="AJ20" i="7"/>
  <c r="AJ21" i="7"/>
  <c r="AJ22" i="7"/>
  <c r="AJ23" i="7"/>
  <c r="AJ24" i="7"/>
  <c r="AJ25" i="7"/>
  <c r="AJ26" i="7"/>
  <c r="AJ27" i="7"/>
  <c r="AJ28" i="7"/>
  <c r="AJ29" i="7"/>
  <c r="AJ30" i="7"/>
  <c r="AJ31" i="7"/>
  <c r="AJ32" i="7"/>
  <c r="AJ33" i="7"/>
  <c r="AJ34" i="7"/>
  <c r="AJ35" i="7"/>
  <c r="AJ36" i="7"/>
  <c r="AJ37" i="7"/>
  <c r="AJ38" i="7"/>
  <c r="AJ39" i="7"/>
  <c r="AJ40" i="7"/>
  <c r="AJ41" i="7"/>
  <c r="AJ42" i="7"/>
  <c r="AJ43" i="7"/>
  <c r="AJ44" i="7"/>
  <c r="AJ45" i="7"/>
  <c r="AJ46" i="7"/>
  <c r="AJ47" i="7"/>
  <c r="AJ48" i="7"/>
  <c r="AJ49" i="7"/>
  <c r="AJ50" i="7"/>
  <c r="AJ51" i="7"/>
  <c r="AJ52" i="7"/>
  <c r="AJ53" i="7"/>
  <c r="AJ54" i="7"/>
  <c r="AJ55" i="7"/>
  <c r="AJ56" i="7"/>
  <c r="AJ57" i="7"/>
  <c r="AJ58" i="7"/>
  <c r="AJ59" i="7"/>
  <c r="AJ60" i="7"/>
  <c r="AJ61" i="7"/>
  <c r="AJ62" i="7"/>
  <c r="AJ63" i="7"/>
  <c r="AJ64" i="7"/>
  <c r="AJ65" i="7"/>
  <c r="AJ66" i="7"/>
  <c r="AJ67" i="7"/>
  <c r="AJ68" i="7"/>
  <c r="AJ69" i="7"/>
  <c r="AJ70" i="7"/>
  <c r="AJ71" i="7"/>
  <c r="AJ72" i="7"/>
  <c r="AJ73" i="7"/>
  <c r="AJ74" i="7"/>
  <c r="AJ75" i="7"/>
  <c r="AJ76" i="7"/>
  <c r="AJ77" i="7"/>
  <c r="AJ78" i="7"/>
  <c r="AJ79" i="7"/>
  <c r="AJ80" i="7"/>
  <c r="AJ81" i="7"/>
  <c r="AJ82" i="7"/>
  <c r="AJ83" i="7"/>
  <c r="AJ84" i="7"/>
  <c r="AJ85" i="7"/>
  <c r="AJ86" i="7"/>
  <c r="AJ87" i="7"/>
  <c r="AJ88" i="7"/>
  <c r="AJ89" i="7"/>
  <c r="AJ90" i="7"/>
  <c r="AJ91" i="7"/>
  <c r="AJ92" i="7"/>
  <c r="AJ93" i="7"/>
  <c r="AJ94" i="7"/>
  <c r="AJ95" i="7"/>
  <c r="AJ96" i="7"/>
  <c r="AJ97" i="7"/>
  <c r="AJ98" i="7"/>
  <c r="AJ99" i="7"/>
  <c r="AJ100" i="7"/>
  <c r="AJ101" i="7"/>
  <c r="AJ102" i="7"/>
  <c r="AJ103" i="7"/>
  <c r="AJ104" i="7"/>
  <c r="AJ105" i="7"/>
  <c r="AJ106" i="7"/>
  <c r="AJ107" i="7"/>
  <c r="AJ108" i="7"/>
  <c r="AJ109" i="7"/>
  <c r="AJ110" i="7"/>
  <c r="AJ111" i="7"/>
  <c r="AJ112" i="7"/>
  <c r="AJ113" i="7"/>
  <c r="AJ114" i="7"/>
  <c r="AJ115" i="7"/>
  <c r="AJ116" i="7"/>
  <c r="AJ117" i="7"/>
  <c r="AJ118" i="7"/>
  <c r="AJ119" i="7"/>
  <c r="AJ120" i="7"/>
  <c r="AJ121" i="7"/>
  <c r="AJ122" i="7"/>
  <c r="AJ123" i="7"/>
  <c r="AJ124" i="7"/>
  <c r="AJ125" i="7"/>
  <c r="AJ126" i="7"/>
  <c r="AJ127" i="7"/>
  <c r="AJ128" i="7"/>
  <c r="AJ129" i="7"/>
  <c r="AJ130" i="7"/>
  <c r="AJ131" i="7"/>
  <c r="AJ132" i="7"/>
  <c r="AJ133" i="7"/>
  <c r="AJ134" i="7"/>
  <c r="AJ135" i="7"/>
  <c r="AJ136" i="7"/>
  <c r="AJ137" i="7"/>
  <c r="AJ138" i="7"/>
  <c r="AJ139" i="7"/>
  <c r="AJ140" i="7"/>
  <c r="AJ141" i="7"/>
  <c r="AJ142" i="7"/>
  <c r="AJ143" i="7"/>
  <c r="AJ144" i="7"/>
  <c r="AJ145" i="7"/>
  <c r="AJ146" i="7"/>
  <c r="AJ147" i="7"/>
  <c r="AJ148" i="7"/>
  <c r="AJ149" i="7"/>
  <c r="AJ150" i="7"/>
  <c r="AJ151" i="7"/>
  <c r="AJ152" i="7"/>
  <c r="AJ153" i="7"/>
  <c r="AJ154" i="7"/>
  <c r="AJ155" i="7"/>
  <c r="AJ156" i="7"/>
  <c r="AJ157" i="7"/>
  <c r="AJ158" i="7"/>
  <c r="AJ159" i="7"/>
  <c r="AJ160" i="7"/>
  <c r="AJ161" i="7"/>
  <c r="AJ162" i="7"/>
  <c r="AJ163" i="7"/>
  <c r="AJ164" i="7"/>
  <c r="AJ165" i="7"/>
  <c r="AJ166" i="7"/>
  <c r="AJ167" i="7"/>
  <c r="AJ168" i="7"/>
  <c r="AJ169" i="7"/>
  <c r="AJ170" i="7"/>
  <c r="AJ171" i="7"/>
  <c r="AJ172" i="7"/>
  <c r="AJ173" i="7"/>
  <c r="AJ174" i="7"/>
  <c r="AJ175" i="7"/>
  <c r="AJ176" i="7"/>
  <c r="AJ177" i="7"/>
  <c r="AJ178" i="7"/>
  <c r="AJ179" i="7"/>
  <c r="AJ180" i="7"/>
  <c r="AJ181" i="7"/>
  <c r="AJ182" i="7"/>
  <c r="AJ183" i="7"/>
  <c r="AJ184" i="7"/>
  <c r="AJ185" i="7"/>
  <c r="AJ186" i="7"/>
  <c r="AJ187" i="7"/>
  <c r="AJ188" i="7"/>
  <c r="AJ189" i="7"/>
  <c r="AJ190" i="7"/>
  <c r="AJ191" i="7"/>
  <c r="AJ192" i="7"/>
  <c r="AJ193" i="7"/>
  <c r="AJ194" i="7"/>
  <c r="AJ195" i="7"/>
  <c r="AJ196" i="7"/>
  <c r="AJ197" i="7"/>
  <c r="AJ198" i="7"/>
  <c r="AJ199" i="7"/>
  <c r="AJ200" i="7"/>
  <c r="AJ201" i="7"/>
  <c r="AJ202" i="7"/>
  <c r="AJ203" i="7"/>
  <c r="AJ204" i="7"/>
  <c r="AJ205" i="7"/>
  <c r="AJ206" i="7"/>
  <c r="AJ207" i="7"/>
  <c r="AJ208" i="7"/>
  <c r="AJ209" i="7"/>
  <c r="AJ210" i="7"/>
  <c r="AJ211" i="7"/>
  <c r="AJ212" i="7"/>
  <c r="AJ213" i="7"/>
  <c r="AJ214" i="7"/>
  <c r="AJ215" i="7"/>
  <c r="AJ216" i="7"/>
  <c r="AJ217" i="7"/>
  <c r="AJ218" i="7"/>
  <c r="AJ219" i="7"/>
  <c r="AJ220" i="7"/>
  <c r="AJ221" i="7"/>
  <c r="AJ222" i="7"/>
  <c r="AJ223" i="7"/>
  <c r="AJ224" i="7"/>
  <c r="AJ225" i="7"/>
  <c r="AJ226" i="7"/>
  <c r="AJ227" i="7"/>
  <c r="AJ228" i="7"/>
  <c r="AJ229" i="7"/>
  <c r="AJ230" i="7"/>
  <c r="AJ231" i="7"/>
  <c r="AJ232" i="7"/>
  <c r="AJ233" i="7"/>
  <c r="AJ234" i="7"/>
  <c r="AJ235" i="7"/>
  <c r="AJ236" i="7"/>
  <c r="AJ237" i="7"/>
  <c r="AJ238" i="7"/>
  <c r="AJ239" i="7"/>
  <c r="AJ240" i="7"/>
  <c r="AJ241" i="7"/>
  <c r="AJ242" i="7"/>
  <c r="AJ243" i="7"/>
  <c r="AJ244" i="7"/>
  <c r="AJ245" i="7"/>
  <c r="AJ246" i="7"/>
  <c r="AJ247" i="7"/>
  <c r="AJ248" i="7"/>
  <c r="AJ249" i="7"/>
  <c r="AJ250" i="7"/>
  <c r="AJ251" i="7"/>
  <c r="AJ252" i="7"/>
  <c r="AJ253" i="7"/>
  <c r="AJ254" i="7"/>
  <c r="AJ255" i="7"/>
  <c r="AJ256" i="7"/>
  <c r="AJ257" i="7"/>
  <c r="AJ258" i="7"/>
  <c r="AJ259" i="7"/>
  <c r="AJ260" i="7"/>
  <c r="AJ261" i="7"/>
  <c r="AJ262" i="7"/>
  <c r="AJ263" i="7"/>
  <c r="AJ264" i="7"/>
  <c r="AJ265" i="7"/>
  <c r="AJ266" i="7"/>
  <c r="AJ267" i="7"/>
  <c r="AJ268" i="7"/>
  <c r="AJ269" i="7"/>
  <c r="AJ270" i="7"/>
  <c r="AJ271" i="7"/>
  <c r="AJ272" i="7"/>
  <c r="AJ273" i="7"/>
  <c r="AJ274" i="7"/>
  <c r="AJ275" i="7"/>
  <c r="AJ276" i="7"/>
  <c r="AJ277" i="7"/>
  <c r="AJ2" i="7"/>
  <c r="AC2" i="7"/>
  <c r="H2" i="7"/>
  <c r="AC277" i="7"/>
  <c r="AC276" i="7"/>
  <c r="AC275" i="7"/>
  <c r="AC274" i="7"/>
  <c r="AC273" i="7"/>
  <c r="AC272" i="7"/>
  <c r="AC271" i="7"/>
  <c r="AC270" i="7"/>
  <c r="AC269" i="7"/>
  <c r="AC268" i="7"/>
  <c r="AC267" i="7"/>
  <c r="AC266" i="7"/>
  <c r="AC265" i="7"/>
  <c r="AC264" i="7"/>
  <c r="AC263" i="7"/>
  <c r="AC262" i="7"/>
  <c r="AC261" i="7"/>
  <c r="AC260" i="7"/>
  <c r="AC259" i="7"/>
  <c r="AC258" i="7"/>
  <c r="AC257" i="7"/>
  <c r="AC256" i="7"/>
  <c r="AC255" i="7"/>
  <c r="AC254" i="7"/>
  <c r="AC253" i="7"/>
  <c r="AC252" i="7"/>
  <c r="AC251" i="7"/>
  <c r="AC250" i="7"/>
  <c r="AC249" i="7"/>
  <c r="AC248" i="7"/>
  <c r="AC247" i="7"/>
  <c r="AC246" i="7"/>
  <c r="AC245" i="7"/>
  <c r="AC244" i="7"/>
  <c r="AC243" i="7"/>
  <c r="AC242" i="7"/>
  <c r="AC241" i="7"/>
  <c r="AC240" i="7"/>
  <c r="AC239" i="7"/>
  <c r="AC238" i="7"/>
  <c r="AC237" i="7"/>
  <c r="AC236" i="7"/>
  <c r="AC235" i="7"/>
  <c r="AC234" i="7"/>
  <c r="AC233" i="7"/>
  <c r="AC232" i="7"/>
  <c r="AC231" i="7"/>
  <c r="AC230" i="7"/>
  <c r="AC229" i="7"/>
  <c r="AC228" i="7"/>
  <c r="AC227" i="7"/>
  <c r="AC226" i="7"/>
  <c r="AC225" i="7"/>
  <c r="AC224" i="7"/>
  <c r="AC223" i="7"/>
  <c r="AC222" i="7"/>
  <c r="AC221" i="7"/>
  <c r="AC220" i="7"/>
  <c r="AC219" i="7"/>
  <c r="AC218" i="7"/>
  <c r="AC217" i="7"/>
  <c r="AC216" i="7"/>
  <c r="AC215" i="7"/>
  <c r="AC214" i="7"/>
  <c r="AC213" i="7"/>
  <c r="AC212" i="7"/>
  <c r="AC211" i="7"/>
  <c r="AC210" i="7"/>
  <c r="AC209" i="7"/>
  <c r="AC208" i="7"/>
  <c r="AC207" i="7"/>
  <c r="AC206" i="7"/>
  <c r="AC205" i="7"/>
  <c r="AC204" i="7"/>
  <c r="AC203" i="7"/>
  <c r="AC202" i="7"/>
  <c r="AC201" i="7"/>
  <c r="AC200" i="7"/>
  <c r="AC199" i="7"/>
  <c r="AC198" i="7"/>
  <c r="AC197" i="7"/>
  <c r="AC196" i="7"/>
  <c r="AC195" i="7"/>
  <c r="AC194" i="7"/>
  <c r="AC193" i="7"/>
  <c r="AC192" i="7"/>
  <c r="AC191" i="7"/>
  <c r="AC190" i="7"/>
  <c r="AC189" i="7"/>
  <c r="AC188" i="7"/>
  <c r="AC187" i="7"/>
  <c r="AC186" i="7"/>
  <c r="AC185" i="7"/>
  <c r="AC184" i="7"/>
  <c r="AC183" i="7"/>
  <c r="AC182" i="7"/>
  <c r="AC181" i="7"/>
  <c r="AC180" i="7"/>
  <c r="AC179" i="7"/>
  <c r="AC178" i="7"/>
  <c r="AC177" i="7"/>
  <c r="AC176" i="7"/>
  <c r="AC175" i="7"/>
  <c r="AC174" i="7"/>
  <c r="AC173" i="7"/>
  <c r="AC172" i="7"/>
  <c r="AC171" i="7"/>
  <c r="AC170" i="7"/>
  <c r="AC169" i="7"/>
  <c r="AC168" i="7"/>
  <c r="AC167" i="7"/>
  <c r="AC166" i="7"/>
  <c r="AC165" i="7"/>
  <c r="AC164" i="7"/>
  <c r="AC163" i="7"/>
  <c r="AC162" i="7"/>
  <c r="AC161" i="7"/>
  <c r="AC160" i="7"/>
  <c r="AC159" i="7"/>
  <c r="AC158" i="7"/>
  <c r="AC157" i="7"/>
  <c r="AC156" i="7"/>
  <c r="AC155" i="7"/>
  <c r="AC154" i="7"/>
  <c r="AC153" i="7"/>
  <c r="AC152" i="7"/>
  <c r="AC151" i="7"/>
  <c r="AC150" i="7"/>
  <c r="AC149" i="7"/>
  <c r="AC148" i="7"/>
  <c r="AC147" i="7"/>
  <c r="AC146" i="7"/>
  <c r="AC145" i="7"/>
  <c r="AC144" i="7"/>
  <c r="AC143" i="7"/>
  <c r="AC142" i="7"/>
  <c r="AC141" i="7"/>
  <c r="AC140" i="7"/>
  <c r="AC139" i="7"/>
  <c r="AC138" i="7"/>
  <c r="AC137" i="7"/>
  <c r="AC136" i="7"/>
  <c r="AC135" i="7"/>
  <c r="AC134" i="7"/>
  <c r="AC133" i="7"/>
  <c r="AC132" i="7"/>
  <c r="AC131" i="7"/>
  <c r="AC130" i="7"/>
  <c r="AC129" i="7"/>
  <c r="AC128" i="7"/>
  <c r="AC127" i="7"/>
  <c r="AC126" i="7"/>
  <c r="AC125" i="7"/>
  <c r="AC124" i="7"/>
  <c r="AC123" i="7"/>
  <c r="AC122" i="7"/>
  <c r="AC121" i="7"/>
  <c r="AC120" i="7"/>
  <c r="AC119" i="7"/>
  <c r="AC118" i="7"/>
  <c r="AC117" i="7"/>
  <c r="AC116" i="7"/>
  <c r="AC115" i="7"/>
  <c r="AC114" i="7"/>
  <c r="AC113" i="7"/>
  <c r="AC112" i="7"/>
  <c r="AC111" i="7"/>
  <c r="AC110" i="7"/>
  <c r="AC109" i="7"/>
  <c r="AC108" i="7"/>
  <c r="AC107" i="7"/>
  <c r="AC106" i="7"/>
  <c r="AC105" i="7"/>
  <c r="AC104" i="7"/>
  <c r="AC103" i="7"/>
  <c r="AC102" i="7"/>
  <c r="AC101" i="7"/>
  <c r="AC100" i="7"/>
  <c r="AC99" i="7"/>
  <c r="AC98" i="7"/>
  <c r="AC97" i="7"/>
  <c r="AC96" i="7"/>
  <c r="AC95" i="7"/>
  <c r="AC94" i="7"/>
  <c r="AC93" i="7"/>
  <c r="AC92" i="7"/>
  <c r="AC91" i="7"/>
  <c r="AC90" i="7"/>
  <c r="AC89" i="7"/>
  <c r="AC88" i="7"/>
  <c r="AC87" i="7"/>
  <c r="AC86" i="7"/>
  <c r="AC85" i="7"/>
  <c r="AC84" i="7"/>
  <c r="AC83" i="7"/>
  <c r="AC82" i="7"/>
  <c r="AC81" i="7"/>
  <c r="AC80" i="7"/>
  <c r="AC79" i="7"/>
  <c r="AC78" i="7"/>
  <c r="AC77" i="7"/>
  <c r="AC76" i="7"/>
  <c r="AC75" i="7"/>
  <c r="AC74" i="7"/>
  <c r="AC73" i="7"/>
  <c r="AC72" i="7"/>
  <c r="AC71" i="7"/>
  <c r="AC70" i="7"/>
  <c r="AC69" i="7"/>
  <c r="AC68" i="7"/>
  <c r="AC67" i="7"/>
  <c r="AC66" i="7"/>
  <c r="AC65" i="7"/>
  <c r="AC64" i="7"/>
  <c r="AC63" i="7"/>
  <c r="AC62" i="7"/>
  <c r="AC61" i="7"/>
  <c r="AC60" i="7"/>
  <c r="AC59" i="7"/>
  <c r="AC58" i="7"/>
  <c r="AC57" i="7"/>
  <c r="AC56" i="7"/>
  <c r="AC55" i="7"/>
  <c r="AC54" i="7"/>
  <c r="AC53" i="7"/>
  <c r="AC52" i="7"/>
  <c r="AC51" i="7"/>
  <c r="AC50" i="7"/>
  <c r="AC49" i="7"/>
  <c r="AC48" i="7"/>
  <c r="AC47" i="7"/>
  <c r="AC46" i="7"/>
  <c r="AC45" i="7"/>
  <c r="AC44" i="7"/>
  <c r="AC43" i="7"/>
  <c r="AC42" i="7"/>
  <c r="AC41" i="7"/>
  <c r="AC40" i="7"/>
  <c r="AC39" i="7"/>
  <c r="AC38" i="7"/>
  <c r="AC37" i="7"/>
  <c r="AC36" i="7"/>
  <c r="AC35" i="7"/>
  <c r="AC34" i="7"/>
  <c r="AC33" i="7"/>
  <c r="AC32" i="7"/>
  <c r="AC31" i="7"/>
  <c r="AC30" i="7"/>
  <c r="AC29" i="7"/>
  <c r="AC28" i="7"/>
  <c r="AC27" i="7"/>
  <c r="AC26" i="7"/>
  <c r="AC25" i="7"/>
  <c r="AC24" i="7"/>
  <c r="AC23" i="7"/>
  <c r="AC22" i="7"/>
  <c r="AC21" i="7"/>
  <c r="AC20" i="7"/>
  <c r="AC19" i="7"/>
  <c r="AC18" i="7"/>
  <c r="AC17" i="7"/>
  <c r="AC16" i="7"/>
  <c r="AC15" i="7"/>
  <c r="AC14" i="7"/>
  <c r="AC13" i="7"/>
  <c r="AC12" i="7"/>
  <c r="AC11" i="7"/>
  <c r="AC10" i="7"/>
  <c r="AC9" i="7"/>
  <c r="AC8" i="7"/>
  <c r="AC7" i="7"/>
  <c r="AC6" i="7"/>
  <c r="AC5" i="7"/>
  <c r="AC4" i="7"/>
  <c r="AC3" i="7"/>
  <c r="G31" i="2"/>
  <c r="F31" i="2"/>
  <c r="D23" i="1"/>
  <c r="H24" i="5"/>
  <c r="L24" i="5"/>
  <c r="L25" i="5"/>
  <c r="H25" i="5"/>
  <c r="D46" i="5"/>
  <c r="D47" i="5"/>
  <c r="H48" i="5"/>
  <c r="H49" i="5"/>
  <c r="H47" i="5"/>
  <c r="H46" i="5"/>
  <c r="L36" i="5"/>
  <c r="L38" i="5"/>
  <c r="L37" i="5"/>
  <c r="L35" i="5"/>
  <c r="L34" i="5"/>
  <c r="L28" i="5"/>
  <c r="L27" i="5"/>
  <c r="L26" i="5"/>
  <c r="H36" i="5"/>
  <c r="H35" i="5"/>
  <c r="H34" i="5"/>
  <c r="D37" i="5"/>
  <c r="D34" i="5"/>
  <c r="D35" i="5"/>
  <c r="D27" i="5"/>
  <c r="D26" i="5"/>
  <c r="D25" i="5"/>
  <c r="D24" i="5"/>
  <c r="H8" i="5"/>
  <c r="H13" i="5"/>
  <c r="H14" i="5"/>
  <c r="H26" i="5"/>
  <c r="H23" i="1"/>
  <c r="H25" i="1"/>
  <c r="D25" i="1"/>
  <c r="W2" i="11"/>
  <c r="V2" i="11"/>
  <c r="U2" i="11"/>
  <c r="T2" i="11"/>
  <c r="S2" i="11"/>
  <c r="R2" i="11"/>
  <c r="Q2" i="11"/>
  <c r="P2" i="11"/>
  <c r="J2" i="11"/>
  <c r="I2" i="11"/>
  <c r="H2" i="11"/>
  <c r="G2" i="11"/>
  <c r="F2" i="11"/>
  <c r="E2" i="11"/>
  <c r="D2" i="11"/>
  <c r="C2" i="11"/>
  <c r="W2" i="10"/>
  <c r="V2" i="10"/>
  <c r="U2" i="10"/>
  <c r="T2" i="10"/>
  <c r="S2" i="10"/>
  <c r="R2" i="10"/>
  <c r="Q2" i="10"/>
  <c r="P2" i="10"/>
  <c r="J2" i="10"/>
  <c r="I2" i="10"/>
  <c r="H2" i="10"/>
  <c r="G2" i="10"/>
  <c r="F2" i="10"/>
  <c r="E2" i="10"/>
  <c r="D2" i="10"/>
  <c r="C2" i="10"/>
  <c r="W2" i="9"/>
  <c r="W1" i="9"/>
  <c r="W2" i="8"/>
  <c r="W1" i="8"/>
  <c r="R15" i="1"/>
  <c r="D31" i="2"/>
  <c r="B34" i="2"/>
  <c r="B33" i="2"/>
  <c r="B32" i="2"/>
  <c r="W2" i="3"/>
  <c r="C45" i="1"/>
  <c r="R9" i="1"/>
  <c r="R13" i="1"/>
  <c r="R7" i="1"/>
  <c r="D36" i="5"/>
  <c r="G16" i="5"/>
  <c r="G15" i="5"/>
  <c r="D10" i="5"/>
  <c r="G36" i="2"/>
  <c r="D18" i="5"/>
  <c r="C43" i="1"/>
  <c r="D19" i="5"/>
  <c r="V245" i="7"/>
  <c r="V244" i="7"/>
  <c r="V243" i="7"/>
  <c r="V242" i="7"/>
  <c r="V241" i="7"/>
  <c r="V240" i="7"/>
  <c r="V239" i="7"/>
  <c r="V238" i="7"/>
  <c r="V237" i="7"/>
  <c r="V236" i="7"/>
  <c r="V235" i="7"/>
  <c r="V234" i="7"/>
  <c r="V233" i="7"/>
  <c r="V232" i="7"/>
  <c r="V231" i="7"/>
  <c r="V230" i="7"/>
  <c r="V229" i="7"/>
  <c r="V228" i="7"/>
  <c r="V227" i="7"/>
  <c r="V226" i="7"/>
  <c r="V225" i="7"/>
  <c r="V224" i="7"/>
  <c r="V223" i="7"/>
  <c r="V222" i="7"/>
  <c r="V221" i="7"/>
  <c r="V220" i="7"/>
  <c r="V219" i="7"/>
  <c r="V218" i="7"/>
  <c r="V217" i="7"/>
  <c r="V216" i="7"/>
  <c r="V215" i="7"/>
  <c r="V214" i="7"/>
  <c r="V213" i="7"/>
  <c r="V212" i="7"/>
  <c r="V211" i="7"/>
  <c r="V210" i="7"/>
  <c r="V209" i="7"/>
  <c r="V208" i="7"/>
  <c r="V207" i="7"/>
  <c r="V206" i="7"/>
  <c r="V205" i="7"/>
  <c r="V204" i="7"/>
  <c r="V203" i="7"/>
  <c r="V202" i="7"/>
  <c r="V201" i="7"/>
  <c r="V200" i="7"/>
  <c r="V199" i="7"/>
  <c r="V198" i="7"/>
  <c r="V197" i="7"/>
  <c r="V196" i="7"/>
  <c r="V195" i="7"/>
  <c r="V194" i="7"/>
  <c r="V193" i="7"/>
  <c r="V192" i="7"/>
  <c r="V191" i="7"/>
  <c r="V190" i="7"/>
  <c r="V189" i="7"/>
  <c r="V188" i="7"/>
  <c r="V187" i="7"/>
  <c r="V186" i="7"/>
  <c r="V185" i="7"/>
  <c r="V184" i="7"/>
  <c r="V183" i="7"/>
  <c r="V182" i="7"/>
  <c r="V181" i="7"/>
  <c r="V180" i="7"/>
  <c r="V179" i="7"/>
  <c r="V178" i="7"/>
  <c r="V177" i="7"/>
  <c r="V176" i="7"/>
  <c r="V175" i="7"/>
  <c r="V174" i="7"/>
  <c r="V173" i="7"/>
  <c r="V172" i="7"/>
  <c r="V171" i="7"/>
  <c r="V170" i="7"/>
  <c r="V169" i="7"/>
  <c r="V168" i="7"/>
  <c r="V167" i="7"/>
  <c r="V166" i="7"/>
  <c r="V165" i="7"/>
  <c r="V164" i="7"/>
  <c r="V163" i="7"/>
  <c r="V162" i="7"/>
  <c r="V161" i="7"/>
  <c r="V160" i="7"/>
  <c r="V159" i="7"/>
  <c r="V158" i="7"/>
  <c r="V157" i="7"/>
  <c r="V156" i="7"/>
  <c r="V155" i="7"/>
  <c r="V154" i="7"/>
  <c r="V153" i="7"/>
  <c r="V152" i="7"/>
  <c r="V151" i="7"/>
  <c r="V150" i="7"/>
  <c r="V149" i="7"/>
  <c r="V148" i="7"/>
  <c r="V147" i="7"/>
  <c r="V146" i="7"/>
  <c r="V145" i="7"/>
  <c r="V144" i="7"/>
  <c r="V143" i="7"/>
  <c r="V142" i="7"/>
  <c r="V141" i="7"/>
  <c r="V140" i="7"/>
  <c r="V139" i="7"/>
  <c r="V138" i="7"/>
  <c r="V137" i="7"/>
  <c r="V136" i="7"/>
  <c r="V135" i="7"/>
  <c r="V134" i="7"/>
  <c r="V133" i="7"/>
  <c r="V132" i="7"/>
  <c r="V131" i="7"/>
  <c r="V130" i="7"/>
  <c r="V129" i="7"/>
  <c r="V128" i="7"/>
  <c r="V127" i="7"/>
  <c r="V126" i="7"/>
  <c r="V125" i="7"/>
  <c r="V124" i="7"/>
  <c r="V123" i="7"/>
  <c r="V122" i="7"/>
  <c r="V121" i="7"/>
  <c r="V120" i="7"/>
  <c r="V119" i="7"/>
  <c r="V118" i="7"/>
  <c r="V117" i="7"/>
  <c r="V116" i="7"/>
  <c r="V115" i="7"/>
  <c r="V114" i="7"/>
  <c r="V113" i="7"/>
  <c r="V112" i="7"/>
  <c r="V111" i="7"/>
  <c r="V110" i="7"/>
  <c r="V109" i="7"/>
  <c r="V108" i="7"/>
  <c r="V107" i="7"/>
  <c r="V106" i="7"/>
  <c r="V105" i="7"/>
  <c r="V104" i="7"/>
  <c r="V103" i="7"/>
  <c r="V102" i="7"/>
  <c r="V101" i="7"/>
  <c r="V100" i="7"/>
  <c r="V99" i="7"/>
  <c r="V98" i="7"/>
  <c r="V97" i="7"/>
  <c r="V96" i="7"/>
  <c r="V95" i="7"/>
  <c r="V94" i="7"/>
  <c r="V93" i="7"/>
  <c r="V92" i="7"/>
  <c r="V91" i="7"/>
  <c r="V90" i="7"/>
  <c r="V89" i="7"/>
  <c r="V88" i="7"/>
  <c r="V87" i="7"/>
  <c r="V86" i="7"/>
  <c r="V85" i="7"/>
  <c r="V84" i="7"/>
  <c r="V83" i="7"/>
  <c r="V82" i="7"/>
  <c r="V81" i="7"/>
  <c r="V80" i="7"/>
  <c r="V79" i="7"/>
  <c r="V78" i="7"/>
  <c r="V77" i="7"/>
  <c r="V76" i="7"/>
  <c r="V75" i="7"/>
  <c r="V74" i="7"/>
  <c r="V73" i="7"/>
  <c r="V72" i="7"/>
  <c r="V71" i="7"/>
  <c r="V70" i="7"/>
  <c r="V69" i="7"/>
  <c r="V68" i="7"/>
  <c r="V67" i="7"/>
  <c r="V66" i="7"/>
  <c r="V65" i="7"/>
  <c r="V64" i="7"/>
  <c r="V63" i="7"/>
  <c r="V62" i="7"/>
  <c r="V61" i="7"/>
  <c r="V60" i="7"/>
  <c r="V59" i="7"/>
  <c r="V58" i="7"/>
  <c r="V57" i="7"/>
  <c r="V56" i="7"/>
  <c r="V55" i="7"/>
  <c r="V54" i="7"/>
  <c r="V53" i="7"/>
  <c r="V52" i="7"/>
  <c r="V51" i="7"/>
  <c r="V50" i="7"/>
  <c r="V49" i="7"/>
  <c r="V48" i="7"/>
  <c r="V47" i="7"/>
  <c r="V46" i="7"/>
  <c r="V45" i="7"/>
  <c r="V44" i="7"/>
  <c r="V43" i="7"/>
  <c r="V42" i="7"/>
  <c r="V41" i="7"/>
  <c r="V40" i="7"/>
  <c r="V39" i="7"/>
  <c r="V38" i="7"/>
  <c r="V37" i="7"/>
  <c r="V36" i="7"/>
  <c r="V35" i="7"/>
  <c r="V34" i="7"/>
  <c r="V33" i="7"/>
  <c r="V32" i="7"/>
  <c r="V31" i="7"/>
  <c r="V30" i="7"/>
  <c r="V29" i="7"/>
  <c r="V28" i="7"/>
  <c r="V27" i="7"/>
  <c r="V26" i="7"/>
  <c r="V25" i="7"/>
  <c r="V24" i="7"/>
  <c r="V23" i="7"/>
  <c r="V22" i="7"/>
  <c r="V21" i="7"/>
  <c r="V20" i="7"/>
  <c r="V19" i="7"/>
  <c r="V18" i="7"/>
  <c r="V17" i="7"/>
  <c r="V16" i="7"/>
  <c r="V15" i="7"/>
  <c r="V14" i="7"/>
  <c r="V13" i="7"/>
  <c r="V12" i="7"/>
  <c r="V11" i="7"/>
  <c r="V10" i="7"/>
  <c r="V9" i="7"/>
  <c r="V8" i="7"/>
  <c r="V7" i="7"/>
  <c r="V6" i="7"/>
  <c r="V5" i="7"/>
  <c r="V4" i="7"/>
  <c r="V3" i="7"/>
  <c r="V2" i="7"/>
  <c r="O245" i="7"/>
  <c r="O244" i="7"/>
  <c r="O243" i="7"/>
  <c r="O242" i="7"/>
  <c r="O241" i="7"/>
  <c r="O240" i="7"/>
  <c r="O239" i="7"/>
  <c r="O238" i="7"/>
  <c r="O237" i="7"/>
  <c r="O236" i="7"/>
  <c r="O235" i="7"/>
  <c r="O234" i="7"/>
  <c r="O233" i="7"/>
  <c r="O232" i="7"/>
  <c r="O231" i="7"/>
  <c r="O230" i="7"/>
  <c r="O229" i="7"/>
  <c r="O228" i="7"/>
  <c r="O227" i="7"/>
  <c r="O226" i="7"/>
  <c r="O225" i="7"/>
  <c r="O224" i="7"/>
  <c r="O223" i="7"/>
  <c r="O222" i="7"/>
  <c r="O221" i="7"/>
  <c r="O220" i="7"/>
  <c r="O219" i="7"/>
  <c r="O218" i="7"/>
  <c r="O217" i="7"/>
  <c r="O216" i="7"/>
  <c r="O215" i="7"/>
  <c r="O214" i="7"/>
  <c r="O213" i="7"/>
  <c r="O212" i="7"/>
  <c r="O211" i="7"/>
  <c r="O210" i="7"/>
  <c r="O209" i="7"/>
  <c r="O208" i="7"/>
  <c r="O207" i="7"/>
  <c r="O206" i="7"/>
  <c r="O205" i="7"/>
  <c r="O204" i="7"/>
  <c r="O203" i="7"/>
  <c r="O202" i="7"/>
  <c r="O201" i="7"/>
  <c r="O200" i="7"/>
  <c r="O199" i="7"/>
  <c r="O198" i="7"/>
  <c r="O197" i="7"/>
  <c r="O196" i="7"/>
  <c r="O195" i="7"/>
  <c r="O194" i="7"/>
  <c r="O193" i="7"/>
  <c r="O192" i="7"/>
  <c r="O191" i="7"/>
  <c r="O190" i="7"/>
  <c r="O189" i="7"/>
  <c r="O188" i="7"/>
  <c r="O187" i="7"/>
  <c r="O186" i="7"/>
  <c r="O185" i="7"/>
  <c r="O184" i="7"/>
  <c r="O183" i="7"/>
  <c r="O182" i="7"/>
  <c r="O181" i="7"/>
  <c r="O180" i="7"/>
  <c r="O179" i="7"/>
  <c r="O178" i="7"/>
  <c r="O177" i="7"/>
  <c r="O176" i="7"/>
  <c r="O175" i="7"/>
  <c r="O174" i="7"/>
  <c r="O173" i="7"/>
  <c r="O172" i="7"/>
  <c r="O171" i="7"/>
  <c r="O170" i="7"/>
  <c r="O169" i="7"/>
  <c r="O168" i="7"/>
  <c r="O167" i="7"/>
  <c r="O166" i="7"/>
  <c r="O165" i="7"/>
  <c r="O164" i="7"/>
  <c r="O163" i="7"/>
  <c r="O162" i="7"/>
  <c r="O161" i="7"/>
  <c r="O160" i="7"/>
  <c r="O159" i="7"/>
  <c r="O158" i="7"/>
  <c r="O157" i="7"/>
  <c r="O156" i="7"/>
  <c r="O155" i="7"/>
  <c r="O154" i="7"/>
  <c r="O153" i="7"/>
  <c r="O152" i="7"/>
  <c r="O151" i="7"/>
  <c r="O150" i="7"/>
  <c r="O149" i="7"/>
  <c r="O148" i="7"/>
  <c r="O147" i="7"/>
  <c r="O146" i="7"/>
  <c r="O145" i="7"/>
  <c r="O144" i="7"/>
  <c r="O143" i="7"/>
  <c r="O142" i="7"/>
  <c r="O141" i="7"/>
  <c r="O140" i="7"/>
  <c r="O139" i="7"/>
  <c r="O138" i="7"/>
  <c r="O137" i="7"/>
  <c r="O136" i="7"/>
  <c r="O135" i="7"/>
  <c r="O134" i="7"/>
  <c r="O133" i="7"/>
  <c r="O132" i="7"/>
  <c r="O131" i="7"/>
  <c r="O130" i="7"/>
  <c r="O129" i="7"/>
  <c r="O128" i="7"/>
  <c r="O127" i="7"/>
  <c r="O126" i="7"/>
  <c r="O125" i="7"/>
  <c r="O124" i="7"/>
  <c r="O123" i="7"/>
  <c r="O122" i="7"/>
  <c r="O121" i="7"/>
  <c r="O120" i="7"/>
  <c r="O119" i="7"/>
  <c r="O118" i="7"/>
  <c r="O117" i="7"/>
  <c r="O116" i="7"/>
  <c r="O115" i="7"/>
  <c r="O114" i="7"/>
  <c r="O113" i="7"/>
  <c r="O112" i="7"/>
  <c r="O111" i="7"/>
  <c r="O110" i="7"/>
  <c r="O109" i="7"/>
  <c r="O108" i="7"/>
  <c r="O107" i="7"/>
  <c r="O106" i="7"/>
  <c r="O105" i="7"/>
  <c r="O104" i="7"/>
  <c r="O103" i="7"/>
  <c r="O102" i="7"/>
  <c r="O101" i="7"/>
  <c r="O100" i="7"/>
  <c r="O99" i="7"/>
  <c r="O98" i="7"/>
  <c r="O97" i="7"/>
  <c r="O96" i="7"/>
  <c r="O95" i="7"/>
  <c r="O94" i="7"/>
  <c r="O93" i="7"/>
  <c r="O92" i="7"/>
  <c r="O91" i="7"/>
  <c r="O90" i="7"/>
  <c r="O89" i="7"/>
  <c r="O88" i="7"/>
  <c r="O87" i="7"/>
  <c r="O86" i="7"/>
  <c r="O85" i="7"/>
  <c r="O84" i="7"/>
  <c r="O83" i="7"/>
  <c r="O82" i="7"/>
  <c r="O81" i="7"/>
  <c r="O80" i="7"/>
  <c r="O79" i="7"/>
  <c r="O78" i="7"/>
  <c r="O77" i="7"/>
  <c r="O76" i="7"/>
  <c r="O75" i="7"/>
  <c r="O74" i="7"/>
  <c r="O73" i="7"/>
  <c r="O72" i="7"/>
  <c r="O7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7" i="7"/>
  <c r="O16" i="7"/>
  <c r="O15" i="7"/>
  <c r="O14" i="7"/>
  <c r="O13" i="7"/>
  <c r="O12" i="7"/>
  <c r="O11" i="7"/>
  <c r="O10" i="7"/>
  <c r="O9" i="7"/>
  <c r="O8" i="7"/>
  <c r="O7" i="7"/>
  <c r="O6" i="7"/>
  <c r="O5" i="7"/>
  <c r="O4" i="7"/>
  <c r="O3" i="7"/>
  <c r="O2" i="7"/>
  <c r="H245" i="7"/>
  <c r="H244" i="7"/>
  <c r="H243" i="7"/>
  <c r="H242" i="7"/>
  <c r="H241" i="7"/>
  <c r="H240" i="7"/>
  <c r="H239" i="7"/>
  <c r="H238" i="7"/>
  <c r="H237" i="7"/>
  <c r="H236" i="7"/>
  <c r="H235" i="7"/>
  <c r="H234" i="7"/>
  <c r="H233" i="7"/>
  <c r="H232" i="7"/>
  <c r="H231" i="7"/>
  <c r="H230" i="7"/>
  <c r="H229" i="7"/>
  <c r="H228" i="7"/>
  <c r="H227" i="7"/>
  <c r="H226" i="7"/>
  <c r="H225" i="7"/>
  <c r="H224" i="7"/>
  <c r="H223" i="7"/>
  <c r="H222" i="7"/>
  <c r="H221" i="7"/>
  <c r="H220" i="7"/>
  <c r="H219" i="7"/>
  <c r="H218" i="7"/>
  <c r="H217" i="7"/>
  <c r="H216" i="7"/>
  <c r="H215" i="7"/>
  <c r="H214" i="7"/>
  <c r="H213" i="7"/>
  <c r="H212" i="7"/>
  <c r="H211" i="7"/>
  <c r="H210" i="7"/>
  <c r="H209" i="7"/>
  <c r="H208" i="7"/>
  <c r="H207" i="7"/>
  <c r="H206" i="7"/>
  <c r="H205" i="7"/>
  <c r="H204" i="7"/>
  <c r="H203" i="7"/>
  <c r="H202" i="7"/>
  <c r="H201" i="7"/>
  <c r="H200" i="7"/>
  <c r="H199" i="7"/>
  <c r="H198" i="7"/>
  <c r="H197" i="7"/>
  <c r="H196" i="7"/>
  <c r="H195" i="7"/>
  <c r="H194" i="7"/>
  <c r="H193" i="7"/>
  <c r="H192" i="7"/>
  <c r="H191" i="7"/>
  <c r="H190" i="7"/>
  <c r="H189" i="7"/>
  <c r="H188" i="7"/>
  <c r="H187" i="7"/>
  <c r="H186" i="7"/>
  <c r="H185" i="7"/>
  <c r="H184" i="7"/>
  <c r="H183" i="7"/>
  <c r="H182" i="7"/>
  <c r="H181" i="7"/>
  <c r="H180" i="7"/>
  <c r="H179" i="7"/>
  <c r="H178" i="7"/>
  <c r="H177" i="7"/>
  <c r="H176" i="7"/>
  <c r="H175" i="7"/>
  <c r="H174" i="7"/>
  <c r="H173" i="7"/>
  <c r="H172" i="7"/>
  <c r="H171" i="7"/>
  <c r="H170" i="7"/>
  <c r="H169" i="7"/>
  <c r="H168" i="7"/>
  <c r="H167" i="7"/>
  <c r="H166" i="7"/>
  <c r="H165" i="7"/>
  <c r="H164" i="7"/>
  <c r="H163" i="7"/>
  <c r="H162" i="7"/>
  <c r="H161" i="7"/>
  <c r="H160" i="7"/>
  <c r="H159" i="7"/>
  <c r="H158" i="7"/>
  <c r="H157" i="7"/>
  <c r="H156" i="7"/>
  <c r="H155" i="7"/>
  <c r="H154" i="7"/>
  <c r="H153" i="7"/>
  <c r="H152" i="7"/>
  <c r="H151" i="7"/>
  <c r="H150" i="7"/>
  <c r="H149" i="7"/>
  <c r="H148" i="7"/>
  <c r="H147" i="7"/>
  <c r="H146" i="7"/>
  <c r="H145" i="7"/>
  <c r="H144" i="7"/>
  <c r="H143" i="7"/>
  <c r="H142" i="7"/>
  <c r="H141" i="7"/>
  <c r="H140" i="7"/>
  <c r="H139" i="7"/>
  <c r="H138" i="7"/>
  <c r="H137" i="7"/>
  <c r="H136" i="7"/>
  <c r="H135" i="7"/>
  <c r="H134" i="7"/>
  <c r="H133" i="7"/>
  <c r="H132" i="7"/>
  <c r="H131" i="7"/>
  <c r="H130" i="7"/>
  <c r="H129" i="7"/>
  <c r="H128" i="7"/>
  <c r="H127" i="7"/>
  <c r="H126" i="7"/>
  <c r="H125" i="7"/>
  <c r="H124" i="7"/>
  <c r="H123" i="7"/>
  <c r="H122" i="7"/>
  <c r="H121" i="7"/>
  <c r="H120" i="7"/>
  <c r="H119" i="7"/>
  <c r="H118" i="7"/>
  <c r="H117" i="7"/>
  <c r="H116" i="7"/>
  <c r="H115" i="7"/>
  <c r="H114" i="7"/>
  <c r="H113" i="7"/>
  <c r="H112" i="7"/>
  <c r="H111" i="7"/>
  <c r="H110" i="7"/>
  <c r="H109" i="7"/>
  <c r="H108" i="7"/>
  <c r="H107" i="7"/>
  <c r="H106" i="7"/>
  <c r="H105" i="7"/>
  <c r="H104" i="7"/>
  <c r="H103" i="7"/>
  <c r="H102" i="7"/>
  <c r="H101" i="7"/>
  <c r="H100" i="7"/>
  <c r="H99" i="7"/>
  <c r="H98" i="7"/>
  <c r="H97" i="7"/>
  <c r="H96" i="7"/>
  <c r="H95" i="7"/>
  <c r="H94" i="7"/>
  <c r="H93" i="7"/>
  <c r="H92" i="7"/>
  <c r="H91" i="7"/>
  <c r="H90" i="7"/>
  <c r="H89" i="7"/>
  <c r="H88" i="7"/>
  <c r="H87" i="7"/>
  <c r="H86" i="7"/>
  <c r="H85" i="7"/>
  <c r="H84" i="7"/>
  <c r="H83" i="7"/>
  <c r="H82" i="7"/>
  <c r="H81" i="7"/>
  <c r="H80" i="7"/>
  <c r="H79" i="7"/>
  <c r="H78" i="7"/>
  <c r="H77" i="7"/>
  <c r="H76" i="7"/>
  <c r="H75" i="7"/>
  <c r="H74" i="7"/>
  <c r="H73" i="7"/>
  <c r="H72" i="7"/>
  <c r="H71" i="7"/>
  <c r="H70" i="7"/>
  <c r="H69" i="7"/>
  <c r="H68" i="7"/>
  <c r="H67" i="7"/>
  <c r="H66" i="7"/>
  <c r="H65" i="7"/>
  <c r="H64" i="7"/>
  <c r="H63" i="7"/>
  <c r="H62" i="7"/>
  <c r="H61" i="7"/>
  <c r="H60" i="7"/>
  <c r="H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H10" i="7"/>
  <c r="H9" i="7"/>
  <c r="H8" i="7"/>
  <c r="H7" i="7"/>
  <c r="H6" i="7"/>
  <c r="H5" i="7"/>
  <c r="H4" i="7"/>
  <c r="H3" i="7"/>
  <c r="W1" i="3"/>
  <c r="W2" i="4"/>
  <c r="V2" i="4"/>
  <c r="U2" i="4"/>
  <c r="T2" i="4"/>
  <c r="S2" i="4"/>
  <c r="R2" i="4"/>
  <c r="Q2" i="4"/>
  <c r="P2" i="4"/>
  <c r="J2" i="4"/>
  <c r="I2" i="4"/>
  <c r="H2" i="4"/>
  <c r="G2" i="4"/>
  <c r="F2" i="4"/>
  <c r="E2" i="4"/>
  <c r="D2" i="4"/>
  <c r="C2" i="4"/>
  <c r="D51" i="2"/>
  <c r="D50" i="2"/>
  <c r="D49" i="2"/>
  <c r="D48" i="2"/>
  <c r="D47" i="2"/>
  <c r="D46" i="2"/>
  <c r="D45" i="2"/>
  <c r="A45" i="2"/>
  <c r="A51" i="2"/>
  <c r="A50" i="2"/>
  <c r="A49" i="2"/>
  <c r="A48" i="2"/>
  <c r="A47" i="2"/>
  <c r="A46" i="2"/>
  <c r="L913" i="6"/>
  <c r="L912" i="6"/>
  <c r="L911" i="6"/>
  <c r="L910" i="6"/>
  <c r="L909" i="6"/>
  <c r="L908" i="6"/>
  <c r="L907" i="6"/>
  <c r="L906" i="6"/>
  <c r="L905" i="6"/>
  <c r="L904" i="6"/>
  <c r="L903" i="6"/>
  <c r="L902" i="6"/>
  <c r="L901" i="6"/>
  <c r="L900" i="6"/>
  <c r="L899" i="6"/>
  <c r="L898" i="6"/>
  <c r="L897" i="6"/>
  <c r="L896" i="6"/>
  <c r="L895" i="6"/>
  <c r="L894" i="6"/>
  <c r="L893" i="6"/>
  <c r="L892" i="6"/>
  <c r="L891" i="6"/>
  <c r="L890" i="6"/>
  <c r="L889" i="6"/>
  <c r="L888" i="6"/>
  <c r="L887" i="6"/>
  <c r="L886" i="6"/>
  <c r="L885" i="6"/>
  <c r="L884" i="6"/>
  <c r="L883" i="6"/>
  <c r="L882" i="6"/>
  <c r="L881" i="6"/>
  <c r="L880" i="6"/>
  <c r="L879" i="6"/>
  <c r="L878" i="6"/>
  <c r="L877" i="6"/>
  <c r="L876" i="6"/>
  <c r="L875" i="6"/>
  <c r="L874" i="6"/>
  <c r="L873" i="6"/>
  <c r="L872" i="6"/>
  <c r="L871" i="6"/>
  <c r="L870" i="6"/>
  <c r="L869" i="6"/>
  <c r="L868" i="6"/>
  <c r="L867" i="6"/>
  <c r="L866" i="6"/>
  <c r="L865" i="6"/>
  <c r="L864" i="6"/>
  <c r="L863" i="6"/>
  <c r="L862" i="6"/>
  <c r="L861" i="6"/>
  <c r="L860" i="6"/>
  <c r="L859" i="6"/>
  <c r="L858" i="6"/>
  <c r="L857" i="6"/>
  <c r="L856" i="6"/>
  <c r="L855" i="6"/>
  <c r="L854" i="6"/>
  <c r="L853" i="6"/>
  <c r="L852" i="6"/>
  <c r="L851" i="6"/>
  <c r="L850" i="6"/>
  <c r="L849" i="6"/>
  <c r="L848" i="6"/>
  <c r="L847" i="6"/>
  <c r="L846" i="6"/>
  <c r="L845" i="6"/>
  <c r="L844" i="6"/>
  <c r="L843" i="6"/>
  <c r="L842" i="6"/>
  <c r="L841" i="6"/>
  <c r="L840" i="6"/>
  <c r="L839" i="6"/>
  <c r="L838" i="6"/>
  <c r="L837" i="6"/>
  <c r="L836" i="6"/>
  <c r="L835" i="6"/>
  <c r="L834" i="6"/>
  <c r="L833" i="6"/>
  <c r="L832" i="6"/>
  <c r="L831" i="6"/>
  <c r="L830" i="6"/>
  <c r="L829" i="6"/>
  <c r="L828" i="6"/>
  <c r="L827" i="6"/>
  <c r="L826" i="6"/>
  <c r="L825" i="6"/>
  <c r="L824" i="6"/>
  <c r="L823" i="6"/>
  <c r="L822" i="6"/>
  <c r="L821" i="6"/>
  <c r="L820" i="6"/>
  <c r="L819" i="6"/>
  <c r="L818" i="6"/>
  <c r="L817" i="6"/>
  <c r="L816" i="6"/>
  <c r="L815" i="6"/>
  <c r="L814" i="6"/>
  <c r="L813" i="6"/>
  <c r="L812" i="6"/>
  <c r="L811" i="6"/>
  <c r="L810" i="6"/>
  <c r="L809" i="6"/>
  <c r="L808" i="6"/>
  <c r="L807" i="6"/>
  <c r="L806" i="6"/>
  <c r="L805" i="6"/>
  <c r="L804" i="6"/>
  <c r="L803" i="6"/>
  <c r="L802" i="6"/>
  <c r="L801" i="6"/>
  <c r="L800" i="6"/>
  <c r="L799" i="6"/>
  <c r="L798" i="6"/>
  <c r="L797" i="6"/>
  <c r="L796" i="6"/>
  <c r="L795" i="6"/>
  <c r="L794" i="6"/>
  <c r="L793" i="6"/>
  <c r="L792" i="6"/>
  <c r="L791" i="6"/>
  <c r="L790" i="6"/>
  <c r="L789" i="6"/>
  <c r="L788" i="6"/>
  <c r="L787" i="6"/>
  <c r="L786" i="6"/>
  <c r="L785" i="6"/>
  <c r="L784" i="6"/>
  <c r="L783" i="6"/>
  <c r="L782" i="6"/>
  <c r="L781" i="6"/>
  <c r="L780" i="6"/>
  <c r="L779" i="6"/>
  <c r="L778" i="6"/>
  <c r="L777" i="6"/>
  <c r="L776" i="6"/>
  <c r="L775" i="6"/>
  <c r="L774" i="6"/>
  <c r="L773" i="6"/>
  <c r="L772" i="6"/>
  <c r="L771" i="6"/>
  <c r="L770" i="6"/>
  <c r="L769" i="6"/>
  <c r="L768" i="6"/>
  <c r="L767" i="6"/>
  <c r="L766" i="6"/>
  <c r="L765" i="6"/>
  <c r="L764" i="6"/>
  <c r="L763" i="6"/>
  <c r="L762" i="6"/>
  <c r="L761" i="6"/>
  <c r="L760" i="6"/>
  <c r="L759" i="6"/>
  <c r="L758" i="6"/>
  <c r="L757" i="6"/>
  <c r="L756" i="6"/>
  <c r="L755" i="6"/>
  <c r="L754" i="6"/>
  <c r="L753" i="6"/>
  <c r="L752" i="6"/>
  <c r="L751" i="6"/>
  <c r="L750" i="6"/>
  <c r="L749" i="6"/>
  <c r="L748" i="6"/>
  <c r="L747" i="6"/>
  <c r="L746" i="6"/>
  <c r="L745" i="6"/>
  <c r="L744" i="6"/>
  <c r="L743" i="6"/>
  <c r="L742" i="6"/>
  <c r="L741" i="6"/>
  <c r="L740" i="6"/>
  <c r="L739" i="6"/>
  <c r="L738" i="6"/>
  <c r="L737" i="6"/>
  <c r="L736" i="6"/>
  <c r="L735" i="6"/>
  <c r="L734" i="6"/>
  <c r="L733" i="6"/>
  <c r="L732" i="6"/>
  <c r="L731" i="6"/>
  <c r="L730" i="6"/>
  <c r="L729" i="6"/>
  <c r="L728" i="6"/>
  <c r="L727" i="6"/>
  <c r="L726" i="6"/>
  <c r="L725" i="6"/>
  <c r="L724" i="6"/>
  <c r="L723" i="6"/>
  <c r="L722" i="6"/>
  <c r="L721" i="6"/>
  <c r="L720" i="6"/>
  <c r="L719" i="6"/>
  <c r="L718" i="6"/>
  <c r="L717" i="6"/>
  <c r="L716" i="6"/>
  <c r="L715" i="6"/>
  <c r="L714" i="6"/>
  <c r="L713" i="6"/>
  <c r="L712" i="6"/>
  <c r="L711" i="6"/>
  <c r="L710" i="6"/>
  <c r="L709" i="6"/>
  <c r="L708" i="6"/>
  <c r="L707" i="6"/>
  <c r="L706" i="6"/>
  <c r="L705" i="6"/>
  <c r="L704" i="6"/>
  <c r="L703" i="6"/>
  <c r="L702" i="6"/>
  <c r="L701" i="6"/>
  <c r="L700" i="6"/>
  <c r="L699" i="6"/>
  <c r="L698" i="6"/>
  <c r="L697" i="6"/>
  <c r="L696" i="6"/>
  <c r="L695" i="6"/>
  <c r="L694" i="6"/>
  <c r="L693" i="6"/>
  <c r="L692" i="6"/>
  <c r="L691" i="6"/>
  <c r="L690" i="6"/>
  <c r="L689" i="6"/>
  <c r="L688" i="6"/>
  <c r="L687" i="6"/>
  <c r="L686" i="6"/>
  <c r="L685" i="6"/>
  <c r="L684" i="6"/>
  <c r="L683" i="6"/>
  <c r="L682" i="6"/>
  <c r="L681" i="6"/>
  <c r="L680" i="6"/>
  <c r="L679" i="6"/>
  <c r="L678" i="6"/>
  <c r="L677" i="6"/>
  <c r="L676" i="6"/>
  <c r="L675" i="6"/>
  <c r="L674" i="6"/>
  <c r="L673" i="6"/>
  <c r="L672" i="6"/>
  <c r="L671" i="6"/>
  <c r="L670" i="6"/>
  <c r="L669" i="6"/>
  <c r="L668" i="6"/>
  <c r="L667" i="6"/>
  <c r="L666" i="6"/>
  <c r="L665" i="6"/>
  <c r="L664" i="6"/>
  <c r="L663" i="6"/>
  <c r="L662" i="6"/>
  <c r="L661" i="6"/>
  <c r="L660" i="6"/>
  <c r="L659" i="6"/>
  <c r="L658" i="6"/>
  <c r="L657" i="6"/>
  <c r="L656" i="6"/>
  <c r="L655" i="6"/>
  <c r="L654" i="6"/>
  <c r="L653" i="6"/>
  <c r="L652" i="6"/>
  <c r="L651" i="6"/>
  <c r="L650" i="6"/>
  <c r="L649" i="6"/>
  <c r="L648" i="6"/>
  <c r="L647" i="6"/>
  <c r="L646" i="6"/>
  <c r="L645" i="6"/>
  <c r="L644" i="6"/>
  <c r="L643" i="6"/>
  <c r="L642" i="6"/>
  <c r="L641" i="6"/>
  <c r="L640" i="6"/>
  <c r="L639" i="6"/>
  <c r="L638" i="6"/>
  <c r="L637" i="6"/>
  <c r="L636" i="6"/>
  <c r="L635" i="6"/>
  <c r="L634" i="6"/>
  <c r="L633" i="6"/>
  <c r="L632" i="6"/>
  <c r="L631" i="6"/>
  <c r="L630" i="6"/>
  <c r="L629" i="6"/>
  <c r="L628" i="6"/>
  <c r="L627" i="6"/>
  <c r="L626" i="6"/>
  <c r="L625" i="6"/>
  <c r="L624" i="6"/>
  <c r="L623" i="6"/>
  <c r="L622" i="6"/>
  <c r="L621" i="6"/>
  <c r="L620" i="6"/>
  <c r="L619" i="6"/>
  <c r="L618" i="6"/>
  <c r="L617" i="6"/>
  <c r="L616" i="6"/>
  <c r="L615" i="6"/>
  <c r="L614" i="6"/>
  <c r="L613" i="6"/>
  <c r="L612" i="6"/>
  <c r="L611" i="6"/>
  <c r="L610" i="6"/>
  <c r="L609" i="6"/>
  <c r="L608" i="6"/>
  <c r="L607" i="6"/>
  <c r="L606" i="6"/>
  <c r="L605" i="6"/>
  <c r="L604" i="6"/>
  <c r="L603" i="6"/>
  <c r="L602" i="6"/>
  <c r="L601" i="6"/>
  <c r="L600" i="6"/>
  <c r="L599" i="6"/>
  <c r="L598" i="6"/>
  <c r="L597" i="6"/>
  <c r="L596" i="6"/>
  <c r="L595" i="6"/>
  <c r="L594" i="6"/>
  <c r="L593" i="6"/>
  <c r="L592" i="6"/>
  <c r="L591" i="6"/>
  <c r="L590" i="6"/>
  <c r="L589" i="6"/>
  <c r="L588" i="6"/>
  <c r="L587" i="6"/>
  <c r="L586" i="6"/>
  <c r="L585" i="6"/>
  <c r="L584" i="6"/>
  <c r="L583" i="6"/>
  <c r="L582" i="6"/>
  <c r="L581" i="6"/>
  <c r="L580" i="6"/>
  <c r="L579" i="6"/>
  <c r="L578" i="6"/>
  <c r="L577" i="6"/>
  <c r="L576" i="6"/>
  <c r="L575" i="6"/>
  <c r="L574" i="6"/>
  <c r="L573" i="6"/>
  <c r="L572" i="6"/>
  <c r="L571" i="6"/>
  <c r="L570" i="6"/>
  <c r="L569" i="6"/>
  <c r="L568" i="6"/>
  <c r="L567" i="6"/>
  <c r="L566" i="6"/>
  <c r="L565" i="6"/>
  <c r="L564" i="6"/>
  <c r="L563" i="6"/>
  <c r="L562" i="6"/>
  <c r="L561" i="6"/>
  <c r="L560" i="6"/>
  <c r="L559" i="6"/>
  <c r="L558" i="6"/>
  <c r="L557" i="6"/>
  <c r="L556" i="6"/>
  <c r="L555" i="6"/>
  <c r="L554" i="6"/>
  <c r="L553" i="6"/>
  <c r="L552" i="6"/>
  <c r="L551" i="6"/>
  <c r="L550" i="6"/>
  <c r="L549" i="6"/>
  <c r="L548" i="6"/>
  <c r="L547" i="6"/>
  <c r="L546" i="6"/>
  <c r="L545" i="6"/>
  <c r="L544" i="6"/>
  <c r="L543" i="6"/>
  <c r="L542" i="6"/>
  <c r="L541" i="6"/>
  <c r="L540" i="6"/>
  <c r="L539" i="6"/>
  <c r="L538" i="6"/>
  <c r="L537" i="6"/>
  <c r="L536" i="6"/>
  <c r="L535" i="6"/>
  <c r="L534" i="6"/>
  <c r="L533" i="6"/>
  <c r="L532" i="6"/>
  <c r="L531" i="6"/>
  <c r="L530" i="6"/>
  <c r="L529" i="6"/>
  <c r="L528" i="6"/>
  <c r="L527" i="6"/>
  <c r="L526" i="6"/>
  <c r="L525" i="6"/>
  <c r="L524" i="6"/>
  <c r="L523" i="6"/>
  <c r="L522" i="6"/>
  <c r="L521" i="6"/>
  <c r="L520" i="6"/>
  <c r="L519" i="6"/>
  <c r="L518" i="6"/>
  <c r="L517" i="6"/>
  <c r="L516" i="6"/>
  <c r="L515" i="6"/>
  <c r="L514" i="6"/>
  <c r="L513" i="6"/>
  <c r="L512" i="6"/>
  <c r="L511" i="6"/>
  <c r="L510" i="6"/>
  <c r="L509" i="6"/>
  <c r="L508" i="6"/>
  <c r="L507" i="6"/>
  <c r="L506" i="6"/>
  <c r="L505" i="6"/>
  <c r="L504" i="6"/>
  <c r="L503" i="6"/>
  <c r="L502" i="6"/>
  <c r="L501" i="6"/>
  <c r="L500" i="6"/>
  <c r="L499" i="6"/>
  <c r="L498" i="6"/>
  <c r="L497" i="6"/>
  <c r="L496" i="6"/>
  <c r="L495" i="6"/>
  <c r="L494" i="6"/>
  <c r="L493" i="6"/>
  <c r="L492" i="6"/>
  <c r="L491" i="6"/>
  <c r="L490" i="6"/>
  <c r="L489" i="6"/>
  <c r="L488" i="6"/>
  <c r="L487" i="6"/>
  <c r="L486" i="6"/>
  <c r="L485" i="6"/>
  <c r="L484" i="6"/>
  <c r="L483" i="6"/>
  <c r="L482" i="6"/>
  <c r="L481" i="6"/>
  <c r="L480" i="6"/>
  <c r="L479" i="6"/>
  <c r="L478" i="6"/>
  <c r="L477" i="6"/>
  <c r="L476" i="6"/>
  <c r="L475" i="6"/>
  <c r="L474" i="6"/>
  <c r="L473" i="6"/>
  <c r="L472" i="6"/>
  <c r="L471" i="6"/>
  <c r="A471" i="6"/>
  <c r="L470" i="6"/>
  <c r="A470" i="6"/>
  <c r="L469" i="6"/>
  <c r="A469" i="6"/>
  <c r="L468" i="6"/>
  <c r="A468" i="6"/>
  <c r="L467" i="6"/>
  <c r="A467" i="6"/>
  <c r="L466" i="6"/>
  <c r="A466" i="6"/>
  <c r="L465" i="6"/>
  <c r="A465" i="6"/>
  <c r="L464" i="6"/>
  <c r="A464" i="6"/>
  <c r="L463" i="6"/>
  <c r="A463" i="6"/>
  <c r="L462" i="6"/>
  <c r="A462" i="6"/>
  <c r="L461" i="6"/>
  <c r="A461" i="6"/>
  <c r="L460" i="6"/>
  <c r="A460" i="6"/>
  <c r="L459" i="6"/>
  <c r="A459" i="6"/>
  <c r="L458" i="6"/>
  <c r="A458" i="6"/>
  <c r="L457" i="6"/>
  <c r="A457" i="6"/>
  <c r="L456" i="6"/>
  <c r="A456" i="6"/>
  <c r="L455" i="6"/>
  <c r="A455" i="6"/>
  <c r="L454" i="6"/>
  <c r="A454" i="6"/>
  <c r="L453" i="6"/>
  <c r="A453" i="6"/>
  <c r="L452" i="6"/>
  <c r="A452" i="6"/>
  <c r="L451" i="6"/>
  <c r="A451" i="6"/>
  <c r="L450" i="6"/>
  <c r="A450" i="6"/>
  <c r="L449" i="6"/>
  <c r="A449" i="6"/>
  <c r="L448" i="6"/>
  <c r="A448" i="6"/>
  <c r="L447" i="6"/>
  <c r="A447" i="6"/>
  <c r="L446" i="6"/>
  <c r="A446" i="6"/>
  <c r="L445" i="6"/>
  <c r="A445" i="6"/>
  <c r="L444" i="6"/>
  <c r="A444" i="6"/>
  <c r="L443" i="6"/>
  <c r="A443" i="6"/>
  <c r="L442" i="6"/>
  <c r="A442" i="6"/>
  <c r="L441" i="6"/>
  <c r="A441" i="6"/>
  <c r="L440" i="6"/>
  <c r="A440" i="6"/>
  <c r="L439" i="6"/>
  <c r="A439" i="6"/>
  <c r="L438" i="6"/>
  <c r="A438" i="6"/>
  <c r="L437" i="6"/>
  <c r="A437" i="6"/>
  <c r="L436" i="6"/>
  <c r="A436" i="6"/>
  <c r="L435" i="6"/>
  <c r="A435" i="6"/>
  <c r="L434" i="6"/>
  <c r="A434" i="6"/>
  <c r="L433" i="6"/>
  <c r="A433" i="6"/>
  <c r="L432" i="6"/>
  <c r="A432" i="6"/>
  <c r="L431" i="6"/>
  <c r="A431" i="6"/>
  <c r="L430" i="6"/>
  <c r="A430" i="6"/>
  <c r="L429" i="6"/>
  <c r="A429" i="6"/>
  <c r="L428" i="6"/>
  <c r="A428" i="6"/>
  <c r="L427" i="6"/>
  <c r="A427" i="6"/>
  <c r="L426" i="6"/>
  <c r="A426" i="6"/>
  <c r="L425" i="6"/>
  <c r="A425" i="6"/>
  <c r="L424" i="6"/>
  <c r="A424" i="6"/>
  <c r="L423" i="6"/>
  <c r="A423" i="6"/>
  <c r="L422" i="6"/>
  <c r="A422" i="6"/>
  <c r="L421" i="6"/>
  <c r="A421" i="6"/>
  <c r="L420" i="6"/>
  <c r="A420" i="6"/>
  <c r="L419" i="6"/>
  <c r="A419" i="6"/>
  <c r="L418" i="6"/>
  <c r="A418" i="6"/>
  <c r="L417" i="6"/>
  <c r="A417" i="6"/>
  <c r="L416" i="6"/>
  <c r="A416" i="6"/>
  <c r="L415" i="6"/>
  <c r="A415" i="6"/>
  <c r="L414" i="6"/>
  <c r="A414" i="6"/>
  <c r="L413" i="6"/>
  <c r="A413" i="6"/>
  <c r="L412" i="6"/>
  <c r="A412" i="6"/>
  <c r="L411" i="6"/>
  <c r="A411" i="6"/>
  <c r="L410" i="6"/>
  <c r="A410" i="6"/>
  <c r="L409" i="6"/>
  <c r="A409" i="6"/>
  <c r="L408" i="6"/>
  <c r="A408" i="6"/>
  <c r="L407" i="6"/>
  <c r="A407" i="6"/>
  <c r="L406" i="6"/>
  <c r="A406" i="6"/>
  <c r="L405" i="6"/>
  <c r="A405" i="6"/>
  <c r="L404" i="6"/>
  <c r="A404" i="6"/>
  <c r="L403" i="6"/>
  <c r="A403" i="6"/>
  <c r="L402" i="6"/>
  <c r="A402" i="6"/>
  <c r="L401" i="6"/>
  <c r="A401" i="6"/>
  <c r="L400" i="6"/>
  <c r="A400" i="6"/>
  <c r="L399" i="6"/>
  <c r="A399" i="6"/>
  <c r="L398" i="6"/>
  <c r="A398" i="6"/>
  <c r="L397" i="6"/>
  <c r="A397" i="6"/>
  <c r="L396" i="6"/>
  <c r="A396" i="6"/>
  <c r="L395" i="6"/>
  <c r="A395" i="6"/>
  <c r="L394" i="6"/>
  <c r="A394" i="6"/>
  <c r="L393" i="6"/>
  <c r="A393" i="6"/>
  <c r="L392" i="6"/>
  <c r="A392" i="6"/>
  <c r="L391" i="6"/>
  <c r="A391" i="6"/>
  <c r="L390" i="6"/>
  <c r="A390" i="6"/>
  <c r="L389" i="6"/>
  <c r="A389" i="6"/>
  <c r="L388" i="6"/>
  <c r="A388" i="6"/>
  <c r="L387" i="6"/>
  <c r="A387" i="6"/>
  <c r="L386" i="6"/>
  <c r="A386" i="6"/>
  <c r="L385" i="6"/>
  <c r="A385" i="6"/>
  <c r="L384" i="6"/>
  <c r="A384" i="6"/>
  <c r="L383" i="6"/>
  <c r="A383" i="6"/>
  <c r="L382" i="6"/>
  <c r="A382" i="6"/>
  <c r="L381" i="6"/>
  <c r="A381" i="6"/>
  <c r="L380" i="6"/>
  <c r="A380" i="6"/>
  <c r="L379" i="6"/>
  <c r="A379" i="6"/>
  <c r="L378" i="6"/>
  <c r="A378" i="6"/>
  <c r="L377" i="6"/>
  <c r="A377" i="6"/>
  <c r="L376" i="6"/>
  <c r="A376" i="6"/>
  <c r="L375" i="6"/>
  <c r="A375" i="6"/>
  <c r="L374" i="6"/>
  <c r="A374" i="6"/>
  <c r="L373" i="6"/>
  <c r="A373" i="6"/>
  <c r="L372" i="6"/>
  <c r="A372" i="6"/>
  <c r="L371" i="6"/>
  <c r="A371" i="6"/>
  <c r="L370" i="6"/>
  <c r="A370" i="6"/>
  <c r="L369" i="6"/>
  <c r="A369" i="6"/>
  <c r="L368" i="6"/>
  <c r="A368" i="6"/>
  <c r="L367" i="6"/>
  <c r="A367" i="6"/>
  <c r="L366" i="6"/>
  <c r="A366" i="6"/>
  <c r="L365" i="6"/>
  <c r="A365" i="6"/>
  <c r="L364" i="6"/>
  <c r="A364" i="6"/>
  <c r="L363" i="6"/>
  <c r="A363" i="6"/>
  <c r="L362" i="6"/>
  <c r="A362" i="6"/>
  <c r="L361" i="6"/>
  <c r="A361" i="6"/>
  <c r="L360" i="6"/>
  <c r="A360" i="6"/>
  <c r="L359" i="6"/>
  <c r="A359" i="6"/>
  <c r="L358" i="6"/>
  <c r="A358" i="6"/>
  <c r="L357" i="6"/>
  <c r="A357" i="6"/>
  <c r="L356" i="6"/>
  <c r="A356" i="6"/>
  <c r="L355" i="6"/>
  <c r="A355" i="6"/>
  <c r="L354" i="6"/>
  <c r="A354" i="6"/>
  <c r="L353" i="6"/>
  <c r="A353" i="6"/>
  <c r="L352" i="6"/>
  <c r="A352" i="6"/>
  <c r="L351" i="6"/>
  <c r="A351" i="6"/>
  <c r="L350" i="6"/>
  <c r="A350" i="6"/>
  <c r="L349" i="6"/>
  <c r="A349" i="6"/>
  <c r="L348" i="6"/>
  <c r="A348" i="6"/>
  <c r="L347" i="6"/>
  <c r="A347" i="6"/>
  <c r="L346" i="6"/>
  <c r="A346" i="6"/>
  <c r="L345" i="6"/>
  <c r="A345" i="6"/>
  <c r="L344" i="6"/>
  <c r="A344" i="6"/>
  <c r="L343" i="6"/>
  <c r="A343" i="6"/>
  <c r="L342" i="6"/>
  <c r="A342" i="6"/>
  <c r="L341" i="6"/>
  <c r="A341" i="6"/>
  <c r="L340" i="6"/>
  <c r="A340" i="6"/>
  <c r="L339" i="6"/>
  <c r="A339" i="6"/>
  <c r="L338" i="6"/>
  <c r="A338" i="6"/>
  <c r="L337" i="6"/>
  <c r="A337" i="6"/>
  <c r="L336" i="6"/>
  <c r="A336" i="6"/>
  <c r="L335" i="6"/>
  <c r="A335" i="6"/>
  <c r="L334" i="6"/>
  <c r="A334" i="6"/>
  <c r="L333" i="6"/>
  <c r="A333" i="6"/>
  <c r="L332" i="6"/>
  <c r="A332" i="6"/>
  <c r="L331" i="6"/>
  <c r="A331" i="6"/>
  <c r="L330" i="6"/>
  <c r="A330" i="6"/>
  <c r="L329" i="6"/>
  <c r="A329" i="6"/>
  <c r="L328" i="6"/>
  <c r="A328" i="6"/>
  <c r="L327" i="6"/>
  <c r="A327" i="6"/>
  <c r="L326" i="6"/>
  <c r="A326" i="6"/>
  <c r="L325" i="6"/>
  <c r="A325" i="6"/>
  <c r="L324" i="6"/>
  <c r="A324" i="6"/>
  <c r="L323" i="6"/>
  <c r="A323" i="6"/>
  <c r="L322" i="6"/>
  <c r="A322" i="6"/>
  <c r="L321" i="6"/>
  <c r="A321" i="6"/>
  <c r="L320" i="6"/>
  <c r="A320" i="6"/>
  <c r="L319" i="6"/>
  <c r="A319" i="6"/>
  <c r="L318" i="6"/>
  <c r="A318" i="6"/>
  <c r="L317" i="6"/>
  <c r="A317" i="6"/>
  <c r="L316" i="6"/>
  <c r="A316" i="6"/>
  <c r="L315" i="6"/>
  <c r="A315" i="6"/>
  <c r="L314" i="6"/>
  <c r="A314" i="6"/>
  <c r="L313" i="6"/>
  <c r="A313" i="6"/>
  <c r="L312" i="6"/>
  <c r="A312" i="6"/>
  <c r="L311" i="6"/>
  <c r="A311" i="6"/>
  <c r="L310" i="6"/>
  <c r="A310" i="6"/>
  <c r="L309" i="6"/>
  <c r="A309" i="6"/>
  <c r="L308" i="6"/>
  <c r="A308" i="6"/>
  <c r="L307" i="6"/>
  <c r="A307" i="6"/>
  <c r="L306" i="6"/>
  <c r="A306" i="6"/>
  <c r="L305" i="6"/>
  <c r="A305" i="6"/>
  <c r="L304" i="6"/>
  <c r="A304" i="6"/>
  <c r="L303" i="6"/>
  <c r="A303" i="6"/>
  <c r="L302" i="6"/>
  <c r="A302" i="6"/>
  <c r="L301" i="6"/>
  <c r="A301" i="6"/>
  <c r="L300" i="6"/>
  <c r="A300" i="6"/>
  <c r="L299" i="6"/>
  <c r="A299" i="6"/>
  <c r="L298" i="6"/>
  <c r="A298" i="6"/>
  <c r="L297" i="6"/>
  <c r="A297" i="6"/>
  <c r="L296" i="6"/>
  <c r="A296" i="6"/>
  <c r="L295" i="6"/>
  <c r="A295" i="6"/>
  <c r="L294" i="6"/>
  <c r="A294" i="6"/>
  <c r="L293" i="6"/>
  <c r="A293" i="6"/>
  <c r="L292" i="6"/>
  <c r="A292" i="6"/>
  <c r="L291" i="6"/>
  <c r="A291" i="6"/>
  <c r="L290" i="6"/>
  <c r="A290" i="6"/>
  <c r="L289" i="6"/>
  <c r="A289" i="6"/>
  <c r="L288" i="6"/>
  <c r="A288" i="6"/>
  <c r="L287" i="6"/>
  <c r="A287" i="6"/>
  <c r="L286" i="6"/>
  <c r="A286" i="6"/>
  <c r="L285" i="6"/>
  <c r="A285" i="6"/>
  <c r="L284" i="6"/>
  <c r="A284" i="6"/>
  <c r="L283" i="6"/>
  <c r="A283" i="6"/>
  <c r="L282" i="6"/>
  <c r="A282" i="6"/>
  <c r="L281" i="6"/>
  <c r="A281" i="6"/>
  <c r="L280" i="6"/>
  <c r="A280" i="6"/>
  <c r="L279" i="6"/>
  <c r="A279" i="6"/>
  <c r="L278" i="6"/>
  <c r="A278" i="6"/>
  <c r="L277" i="6"/>
  <c r="A277" i="6"/>
  <c r="L276" i="6"/>
  <c r="A276" i="6"/>
  <c r="L275" i="6"/>
  <c r="A275" i="6"/>
  <c r="L274" i="6"/>
  <c r="A274" i="6"/>
  <c r="L273" i="6"/>
  <c r="A273" i="6"/>
  <c r="L272" i="6"/>
  <c r="A272" i="6"/>
  <c r="L271" i="6"/>
  <c r="A271" i="6"/>
  <c r="L270" i="6"/>
  <c r="A270" i="6"/>
  <c r="L269" i="6"/>
  <c r="A269" i="6"/>
  <c r="L268" i="6"/>
  <c r="A268" i="6"/>
  <c r="L267" i="6"/>
  <c r="A267" i="6"/>
  <c r="L266" i="6"/>
  <c r="A266" i="6"/>
  <c r="L265" i="6"/>
  <c r="A265" i="6"/>
  <c r="L264" i="6"/>
  <c r="A264" i="6"/>
  <c r="L263" i="6"/>
  <c r="A263" i="6"/>
  <c r="L262" i="6"/>
  <c r="A262" i="6"/>
  <c r="L261" i="6"/>
  <c r="A261" i="6"/>
  <c r="L260" i="6"/>
  <c r="A260" i="6"/>
  <c r="L259" i="6"/>
  <c r="A259" i="6"/>
  <c r="L258" i="6"/>
  <c r="A258" i="6"/>
  <c r="L257" i="6"/>
  <c r="A257" i="6"/>
  <c r="L256" i="6"/>
  <c r="A256" i="6"/>
  <c r="L255" i="6"/>
  <c r="A255" i="6"/>
  <c r="L254" i="6"/>
  <c r="A254" i="6"/>
  <c r="L253" i="6"/>
  <c r="A253" i="6"/>
  <c r="L252" i="6"/>
  <c r="A252" i="6"/>
  <c r="L251" i="6"/>
  <c r="A251" i="6"/>
  <c r="L250" i="6"/>
  <c r="A250" i="6"/>
  <c r="L249" i="6"/>
  <c r="A249" i="6"/>
  <c r="L248" i="6"/>
  <c r="A248" i="6"/>
  <c r="L247" i="6"/>
  <c r="A247" i="6"/>
  <c r="L246" i="6"/>
  <c r="A246" i="6"/>
  <c r="L245" i="6"/>
  <c r="A245" i="6"/>
  <c r="L244" i="6"/>
  <c r="A244" i="6"/>
  <c r="L243" i="6"/>
  <c r="A243" i="6"/>
  <c r="L242" i="6"/>
  <c r="A242" i="6"/>
  <c r="L241" i="6"/>
  <c r="A241" i="6"/>
  <c r="L240" i="6"/>
  <c r="A240" i="6"/>
  <c r="L239" i="6"/>
  <c r="A239" i="6"/>
  <c r="L238" i="6"/>
  <c r="A238" i="6"/>
  <c r="L237" i="6"/>
  <c r="A237" i="6"/>
  <c r="L236" i="6"/>
  <c r="A236" i="6"/>
  <c r="L235" i="6"/>
  <c r="A235" i="6"/>
  <c r="L234" i="6"/>
  <c r="A234" i="6"/>
  <c r="L233" i="6"/>
  <c r="A233" i="6"/>
  <c r="L232" i="6"/>
  <c r="A232" i="6"/>
  <c r="L231" i="6"/>
  <c r="A231" i="6"/>
  <c r="L230" i="6"/>
  <c r="A230" i="6"/>
  <c r="L229" i="6"/>
  <c r="A229" i="6"/>
  <c r="L228" i="6"/>
  <c r="A228" i="6"/>
  <c r="L227" i="6"/>
  <c r="A227" i="6"/>
  <c r="L226" i="6"/>
  <c r="A226" i="6"/>
  <c r="L225" i="6"/>
  <c r="A225" i="6"/>
  <c r="L224" i="6"/>
  <c r="A224" i="6"/>
  <c r="L223" i="6"/>
  <c r="A223" i="6"/>
  <c r="L222" i="6"/>
  <c r="A222" i="6"/>
  <c r="L221" i="6"/>
  <c r="A221" i="6"/>
  <c r="L220" i="6"/>
  <c r="A220" i="6"/>
  <c r="L219" i="6"/>
  <c r="A219" i="6"/>
  <c r="L218" i="6"/>
  <c r="A218" i="6"/>
  <c r="L217" i="6"/>
  <c r="A217" i="6"/>
  <c r="L216" i="6"/>
  <c r="A216" i="6"/>
  <c r="L215" i="6"/>
  <c r="A215" i="6"/>
  <c r="L214" i="6"/>
  <c r="A214" i="6"/>
  <c r="L213" i="6"/>
  <c r="A213" i="6"/>
  <c r="L212" i="6"/>
  <c r="A212" i="6"/>
  <c r="L211" i="6"/>
  <c r="A211" i="6"/>
  <c r="L210" i="6"/>
  <c r="A210" i="6"/>
  <c r="L209" i="6"/>
  <c r="A209" i="6"/>
  <c r="L208" i="6"/>
  <c r="A208" i="6"/>
  <c r="L207" i="6"/>
  <c r="A207" i="6"/>
  <c r="L206" i="6"/>
  <c r="A206" i="6"/>
  <c r="L205" i="6"/>
  <c r="A205" i="6"/>
  <c r="L204" i="6"/>
  <c r="A204" i="6"/>
  <c r="L203" i="6"/>
  <c r="A203" i="6"/>
  <c r="L202" i="6"/>
  <c r="A202" i="6"/>
  <c r="L201" i="6"/>
  <c r="A201" i="6"/>
  <c r="L200" i="6"/>
  <c r="A200" i="6"/>
  <c r="L199" i="6"/>
  <c r="A199" i="6"/>
  <c r="L198" i="6"/>
  <c r="A198" i="6"/>
  <c r="L197" i="6"/>
  <c r="A197" i="6"/>
  <c r="L196" i="6"/>
  <c r="A196" i="6"/>
  <c r="L195" i="6"/>
  <c r="A195" i="6"/>
  <c r="L194" i="6"/>
  <c r="A194" i="6"/>
  <c r="L193" i="6"/>
  <c r="A193" i="6"/>
  <c r="L192" i="6"/>
  <c r="A192" i="6"/>
  <c r="L191" i="6"/>
  <c r="A191" i="6"/>
  <c r="L190" i="6"/>
  <c r="A190" i="6"/>
  <c r="L189" i="6"/>
  <c r="A189" i="6"/>
  <c r="L188" i="6"/>
  <c r="A188" i="6"/>
  <c r="L187" i="6"/>
  <c r="A187" i="6"/>
  <c r="L186" i="6"/>
  <c r="A186" i="6"/>
  <c r="L185" i="6"/>
  <c r="A185" i="6"/>
  <c r="L184" i="6"/>
  <c r="A184" i="6"/>
  <c r="L183" i="6"/>
  <c r="A183" i="6"/>
  <c r="L182" i="6"/>
  <c r="A182" i="6"/>
  <c r="L181" i="6"/>
  <c r="A181" i="6"/>
  <c r="L180" i="6"/>
  <c r="A180" i="6"/>
  <c r="L179" i="6"/>
  <c r="A179" i="6"/>
  <c r="L178" i="6"/>
  <c r="A178" i="6"/>
  <c r="L177" i="6"/>
  <c r="A177" i="6"/>
  <c r="L176" i="6"/>
  <c r="A176" i="6"/>
  <c r="L175" i="6"/>
  <c r="A175" i="6"/>
  <c r="L174" i="6"/>
  <c r="A174" i="6"/>
  <c r="AZ173" i="6"/>
  <c r="L173" i="6"/>
  <c r="A173" i="6"/>
  <c r="AZ172" i="6"/>
  <c r="L172" i="6"/>
  <c r="A172" i="6"/>
  <c r="AZ171" i="6"/>
  <c r="L171" i="6"/>
  <c r="A171" i="6"/>
  <c r="AZ170" i="6"/>
  <c r="L170" i="6"/>
  <c r="A170" i="6"/>
  <c r="AZ169" i="6"/>
  <c r="L169" i="6"/>
  <c r="A169" i="6"/>
  <c r="AZ168" i="6"/>
  <c r="L168" i="6"/>
  <c r="A168" i="6"/>
  <c r="AZ167" i="6"/>
  <c r="L167" i="6"/>
  <c r="A167" i="6"/>
  <c r="AZ166" i="6"/>
  <c r="L166" i="6"/>
  <c r="A166" i="6"/>
  <c r="AZ165" i="6"/>
  <c r="L165" i="6"/>
  <c r="A165" i="6"/>
  <c r="AZ164" i="6"/>
  <c r="L164" i="6"/>
  <c r="A164" i="6"/>
  <c r="AZ163" i="6"/>
  <c r="L163" i="6"/>
  <c r="A163" i="6"/>
  <c r="AZ162" i="6"/>
  <c r="L162" i="6"/>
  <c r="A162" i="6"/>
  <c r="AZ161" i="6"/>
  <c r="L161" i="6"/>
  <c r="A161" i="6"/>
  <c r="AZ160" i="6"/>
  <c r="L160" i="6"/>
  <c r="A160" i="6"/>
  <c r="AZ159" i="6"/>
  <c r="L159" i="6"/>
  <c r="A159" i="6"/>
  <c r="AZ158" i="6"/>
  <c r="L158" i="6"/>
  <c r="A158" i="6"/>
  <c r="AZ157" i="6"/>
  <c r="L157" i="6"/>
  <c r="A157" i="6"/>
  <c r="AZ156" i="6"/>
  <c r="L156" i="6"/>
  <c r="A156" i="6"/>
  <c r="AZ155" i="6"/>
  <c r="L155" i="6"/>
  <c r="A155" i="6"/>
  <c r="AZ154" i="6"/>
  <c r="L154" i="6"/>
  <c r="A154" i="6"/>
  <c r="AZ153" i="6"/>
  <c r="L153" i="6"/>
  <c r="A153" i="6"/>
  <c r="AZ152" i="6"/>
  <c r="L152" i="6"/>
  <c r="A152" i="6"/>
  <c r="AZ151" i="6"/>
  <c r="L151" i="6"/>
  <c r="A151" i="6"/>
  <c r="AZ150" i="6"/>
  <c r="L150" i="6"/>
  <c r="A150" i="6"/>
  <c r="AZ149" i="6"/>
  <c r="L149" i="6"/>
  <c r="A149" i="6"/>
  <c r="AZ148" i="6"/>
  <c r="L148" i="6"/>
  <c r="A148" i="6"/>
  <c r="AZ147" i="6"/>
  <c r="L147" i="6"/>
  <c r="A147" i="6"/>
  <c r="AZ146" i="6"/>
  <c r="L146" i="6"/>
  <c r="A146" i="6"/>
  <c r="AZ145" i="6"/>
  <c r="L145" i="6"/>
  <c r="A145" i="6"/>
  <c r="AZ144" i="6"/>
  <c r="L144" i="6"/>
  <c r="A144" i="6"/>
  <c r="AZ143" i="6"/>
  <c r="L143" i="6"/>
  <c r="A143" i="6"/>
  <c r="AZ142" i="6"/>
  <c r="L142" i="6"/>
  <c r="A142" i="6"/>
  <c r="AZ141" i="6"/>
  <c r="L141" i="6"/>
  <c r="A141" i="6"/>
  <c r="AZ140" i="6"/>
  <c r="L140" i="6"/>
  <c r="A140" i="6"/>
  <c r="AZ139" i="6"/>
  <c r="L139" i="6"/>
  <c r="A139" i="6"/>
  <c r="AZ138" i="6"/>
  <c r="L138" i="6"/>
  <c r="A138" i="6"/>
  <c r="AZ137" i="6"/>
  <c r="L137" i="6"/>
  <c r="A137" i="6"/>
  <c r="AZ136" i="6"/>
  <c r="L136" i="6"/>
  <c r="A136" i="6"/>
  <c r="AZ135" i="6"/>
  <c r="L135" i="6"/>
  <c r="A135" i="6"/>
  <c r="AZ134" i="6"/>
  <c r="L134" i="6"/>
  <c r="A134" i="6"/>
  <c r="AZ133" i="6"/>
  <c r="L133" i="6"/>
  <c r="A133" i="6"/>
  <c r="AZ132" i="6"/>
  <c r="L132" i="6"/>
  <c r="A132" i="6"/>
  <c r="AZ131" i="6"/>
  <c r="L131" i="6"/>
  <c r="A131" i="6"/>
  <c r="AZ130" i="6"/>
  <c r="L130" i="6"/>
  <c r="A130" i="6"/>
  <c r="AZ129" i="6"/>
  <c r="L129" i="6"/>
  <c r="A129" i="6"/>
  <c r="AZ128" i="6"/>
  <c r="L128" i="6"/>
  <c r="A128" i="6"/>
  <c r="AZ127" i="6"/>
  <c r="L127" i="6"/>
  <c r="A127" i="6"/>
  <c r="AZ126" i="6"/>
  <c r="L126" i="6"/>
  <c r="A126" i="6"/>
  <c r="AZ125" i="6"/>
  <c r="L125" i="6"/>
  <c r="A125" i="6"/>
  <c r="AZ124" i="6"/>
  <c r="L124" i="6"/>
  <c r="A124" i="6"/>
  <c r="AZ123" i="6"/>
  <c r="L123" i="6"/>
  <c r="A123" i="6"/>
  <c r="AZ122" i="6"/>
  <c r="L122" i="6"/>
  <c r="A122" i="6"/>
  <c r="AZ121" i="6"/>
  <c r="L121" i="6"/>
  <c r="A121" i="6"/>
  <c r="AZ120" i="6"/>
  <c r="L120" i="6"/>
  <c r="A120" i="6"/>
  <c r="AZ119" i="6"/>
  <c r="L119" i="6"/>
  <c r="A119" i="6"/>
  <c r="AZ118" i="6"/>
  <c r="L118" i="6"/>
  <c r="A118" i="6"/>
  <c r="AZ117" i="6"/>
  <c r="L117" i="6"/>
  <c r="A117" i="6"/>
  <c r="AZ116" i="6"/>
  <c r="L116" i="6"/>
  <c r="A116" i="6"/>
  <c r="AZ115" i="6"/>
  <c r="L115" i="6"/>
  <c r="A115" i="6"/>
  <c r="AZ114" i="6"/>
  <c r="L114" i="6"/>
  <c r="A114" i="6"/>
  <c r="AZ113" i="6"/>
  <c r="L113" i="6"/>
  <c r="A113" i="6"/>
  <c r="AZ112" i="6"/>
  <c r="L112" i="6"/>
  <c r="A112" i="6"/>
  <c r="AZ111" i="6"/>
  <c r="L111" i="6"/>
  <c r="A111" i="6"/>
  <c r="AZ110" i="6"/>
  <c r="L110" i="6"/>
  <c r="A110" i="6"/>
  <c r="AZ109" i="6"/>
  <c r="L109" i="6"/>
  <c r="A109" i="6"/>
  <c r="AZ108" i="6"/>
  <c r="L108" i="6"/>
  <c r="A108" i="6"/>
  <c r="AZ107" i="6"/>
  <c r="L107" i="6"/>
  <c r="A107" i="6"/>
  <c r="AZ106" i="6"/>
  <c r="L106" i="6"/>
  <c r="A106" i="6"/>
  <c r="AZ105" i="6"/>
  <c r="L105" i="6"/>
  <c r="A105" i="6"/>
  <c r="AZ104" i="6"/>
  <c r="L104" i="6"/>
  <c r="A104" i="6"/>
  <c r="AZ103" i="6"/>
  <c r="L103" i="6"/>
  <c r="A103" i="6"/>
  <c r="AZ102" i="6"/>
  <c r="L102" i="6"/>
  <c r="A102" i="6"/>
  <c r="AZ101" i="6"/>
  <c r="L101" i="6"/>
  <c r="A101" i="6"/>
  <c r="AZ100" i="6"/>
  <c r="L100" i="6"/>
  <c r="A100" i="6"/>
  <c r="AZ99" i="6"/>
  <c r="L99" i="6"/>
  <c r="A99" i="6"/>
  <c r="AZ98" i="6"/>
  <c r="L98" i="6"/>
  <c r="A98" i="6"/>
  <c r="AZ97" i="6"/>
  <c r="L97" i="6"/>
  <c r="A97" i="6"/>
  <c r="AZ96" i="6"/>
  <c r="L96" i="6"/>
  <c r="A96" i="6"/>
  <c r="AZ95" i="6"/>
  <c r="L95" i="6"/>
  <c r="A95" i="6"/>
  <c r="AZ94" i="6"/>
  <c r="L94" i="6"/>
  <c r="A94" i="6"/>
  <c r="AZ93" i="6"/>
  <c r="L93" i="6"/>
  <c r="A93" i="6"/>
  <c r="AZ92" i="6"/>
  <c r="L92" i="6"/>
  <c r="A92" i="6"/>
  <c r="AZ91" i="6"/>
  <c r="L91" i="6"/>
  <c r="A91" i="6"/>
  <c r="AZ90" i="6"/>
  <c r="L90" i="6"/>
  <c r="A90" i="6"/>
  <c r="AZ89" i="6"/>
  <c r="L89" i="6"/>
  <c r="A89" i="6"/>
  <c r="AZ88" i="6"/>
  <c r="L88" i="6"/>
  <c r="A88" i="6"/>
  <c r="AZ87" i="6"/>
  <c r="L87" i="6"/>
  <c r="A87" i="6"/>
  <c r="AZ86" i="6"/>
  <c r="L86" i="6"/>
  <c r="A86" i="6"/>
  <c r="AZ85" i="6"/>
  <c r="L85" i="6"/>
  <c r="A85" i="6"/>
  <c r="AZ84" i="6"/>
  <c r="L84" i="6"/>
  <c r="A84" i="6"/>
  <c r="AZ83" i="6"/>
  <c r="L83" i="6"/>
  <c r="A83" i="6"/>
  <c r="AZ82" i="6"/>
  <c r="L82" i="6"/>
  <c r="A82" i="6"/>
  <c r="AZ81" i="6"/>
  <c r="L81" i="6"/>
  <c r="A81" i="6"/>
  <c r="AZ80" i="6"/>
  <c r="L80" i="6"/>
  <c r="A80" i="6"/>
  <c r="AZ79" i="6"/>
  <c r="L79" i="6"/>
  <c r="A79" i="6"/>
  <c r="AZ78" i="6"/>
  <c r="L78" i="6"/>
  <c r="A78" i="6"/>
  <c r="AZ77" i="6"/>
  <c r="L77" i="6"/>
  <c r="A77" i="6"/>
  <c r="AZ76" i="6"/>
  <c r="L76" i="6"/>
  <c r="A76" i="6"/>
  <c r="AZ75" i="6"/>
  <c r="L75" i="6"/>
  <c r="A75" i="6"/>
  <c r="AZ74" i="6"/>
  <c r="L74" i="6"/>
  <c r="A74" i="6"/>
  <c r="AZ73" i="6"/>
  <c r="L73" i="6"/>
  <c r="A73" i="6"/>
  <c r="AZ72" i="6"/>
  <c r="L72" i="6"/>
  <c r="A72" i="6"/>
  <c r="AZ71" i="6"/>
  <c r="L71" i="6"/>
  <c r="A71" i="6"/>
  <c r="AZ70" i="6"/>
  <c r="L70" i="6"/>
  <c r="A70" i="6"/>
  <c r="AZ69" i="6"/>
  <c r="L69" i="6"/>
  <c r="A69" i="6"/>
  <c r="AZ68" i="6"/>
  <c r="L68" i="6"/>
  <c r="A68" i="6"/>
  <c r="AZ67" i="6"/>
  <c r="L67" i="6"/>
  <c r="A67" i="6"/>
  <c r="AZ66" i="6"/>
  <c r="L66" i="6"/>
  <c r="A66" i="6"/>
  <c r="AZ65" i="6"/>
  <c r="L65" i="6"/>
  <c r="A65" i="6"/>
  <c r="AZ64" i="6"/>
  <c r="L64" i="6"/>
  <c r="A64" i="6"/>
  <c r="AZ63" i="6"/>
  <c r="L63" i="6"/>
  <c r="A63" i="6"/>
  <c r="AZ62" i="6"/>
  <c r="L62" i="6"/>
  <c r="A62" i="6"/>
  <c r="AZ61" i="6"/>
  <c r="L61" i="6"/>
  <c r="A61" i="6"/>
  <c r="AZ60" i="6"/>
  <c r="L60" i="6"/>
  <c r="A60" i="6"/>
  <c r="AZ59" i="6"/>
  <c r="L59" i="6"/>
  <c r="A59" i="6"/>
  <c r="AZ58" i="6"/>
  <c r="L58" i="6"/>
  <c r="A58" i="6"/>
  <c r="AZ57" i="6"/>
  <c r="L57" i="6"/>
  <c r="A57" i="6"/>
  <c r="AZ56" i="6"/>
  <c r="L56" i="6"/>
  <c r="A56" i="6"/>
  <c r="AZ55" i="6"/>
  <c r="L55" i="6"/>
  <c r="A55" i="6"/>
  <c r="AZ54" i="6"/>
  <c r="L54" i="6"/>
  <c r="A54" i="6"/>
  <c r="AZ53" i="6"/>
  <c r="L53" i="6"/>
  <c r="A53" i="6"/>
  <c r="AZ52" i="6"/>
  <c r="L52" i="6"/>
  <c r="A52" i="6"/>
  <c r="AZ51" i="6"/>
  <c r="L51" i="6"/>
  <c r="A51" i="6"/>
  <c r="AZ50" i="6"/>
  <c r="L50" i="6"/>
  <c r="A50" i="6"/>
  <c r="AZ49" i="6"/>
  <c r="L49" i="6"/>
  <c r="A49" i="6"/>
  <c r="AZ48" i="6"/>
  <c r="L48" i="6"/>
  <c r="A48" i="6"/>
  <c r="AZ47" i="6"/>
  <c r="L47" i="6"/>
  <c r="A47" i="6"/>
  <c r="AZ46" i="6"/>
  <c r="L46" i="6"/>
  <c r="A46" i="6"/>
  <c r="AZ45" i="6"/>
  <c r="L45" i="6"/>
  <c r="A45" i="6"/>
  <c r="AZ44" i="6"/>
  <c r="L44" i="6"/>
  <c r="A44" i="6"/>
  <c r="AZ43" i="6"/>
  <c r="L43" i="6"/>
  <c r="A43" i="6"/>
  <c r="AZ42" i="6"/>
  <c r="L42" i="6"/>
  <c r="A42" i="6"/>
  <c r="AZ41" i="6"/>
  <c r="L41" i="6"/>
  <c r="A41" i="6"/>
  <c r="AZ40" i="6"/>
  <c r="L40" i="6"/>
  <c r="A40" i="6"/>
  <c r="AZ39" i="6"/>
  <c r="L39" i="6"/>
  <c r="A39" i="6"/>
  <c r="AZ38" i="6"/>
  <c r="L38" i="6"/>
  <c r="A38" i="6"/>
  <c r="AZ37" i="6"/>
  <c r="L37" i="6"/>
  <c r="A37" i="6"/>
  <c r="AZ36" i="6"/>
  <c r="L36" i="6"/>
  <c r="A36" i="6"/>
  <c r="AZ35" i="6"/>
  <c r="L35" i="6"/>
  <c r="A35" i="6"/>
  <c r="AZ34" i="6"/>
  <c r="L34" i="6"/>
  <c r="A34" i="6"/>
  <c r="AZ33" i="6"/>
  <c r="L33" i="6"/>
  <c r="A33" i="6"/>
  <c r="AZ32" i="6"/>
  <c r="L32" i="6"/>
  <c r="A32" i="6"/>
  <c r="AZ31" i="6"/>
  <c r="AS31" i="6"/>
  <c r="L31" i="6"/>
  <c r="A31" i="6"/>
  <c r="AZ30" i="6"/>
  <c r="AS30" i="6"/>
  <c r="L30" i="6"/>
  <c r="A30" i="6"/>
  <c r="AZ29" i="6"/>
  <c r="AS29" i="6"/>
  <c r="L29" i="6"/>
  <c r="A29" i="6"/>
  <c r="AZ28" i="6"/>
  <c r="AS28" i="6"/>
  <c r="L28" i="6"/>
  <c r="A28" i="6"/>
  <c r="AZ27" i="6"/>
  <c r="AS27" i="6"/>
  <c r="L27" i="6"/>
  <c r="A27" i="6"/>
  <c r="AZ26" i="6"/>
  <c r="AS26" i="6"/>
  <c r="L26" i="6"/>
  <c r="A26" i="6"/>
  <c r="AZ25" i="6"/>
  <c r="AS25" i="6"/>
  <c r="L25" i="6"/>
  <c r="A25" i="6"/>
  <c r="AZ24" i="6"/>
  <c r="AS24" i="6"/>
  <c r="L24" i="6"/>
  <c r="A24" i="6"/>
  <c r="AZ23" i="6"/>
  <c r="AS23" i="6"/>
  <c r="L23" i="6"/>
  <c r="A23" i="6"/>
  <c r="AZ22" i="6"/>
  <c r="AS22" i="6"/>
  <c r="L22" i="6"/>
  <c r="A22" i="6"/>
  <c r="AZ21" i="6"/>
  <c r="AS21" i="6"/>
  <c r="L21" i="6"/>
  <c r="A21" i="6"/>
  <c r="AZ20" i="6"/>
  <c r="AS20" i="6"/>
  <c r="L20" i="6"/>
  <c r="A20" i="6"/>
  <c r="AZ19" i="6"/>
  <c r="AS19" i="6"/>
  <c r="L19" i="6"/>
  <c r="A19" i="6"/>
  <c r="AZ18" i="6"/>
  <c r="AS18" i="6"/>
  <c r="L18" i="6"/>
  <c r="A18" i="6"/>
  <c r="AZ17" i="6"/>
  <c r="AS17" i="6"/>
  <c r="L17" i="6"/>
  <c r="A17" i="6"/>
  <c r="AZ16" i="6"/>
  <c r="AS16" i="6"/>
  <c r="L16" i="6"/>
  <c r="A16" i="6"/>
  <c r="AZ15" i="6"/>
  <c r="AS15" i="6"/>
  <c r="L15" i="6"/>
  <c r="A15" i="6"/>
  <c r="AZ14" i="6"/>
  <c r="AS14" i="6"/>
  <c r="L14" i="6"/>
  <c r="A14" i="6"/>
  <c r="AZ13" i="6"/>
  <c r="AS13" i="6"/>
  <c r="L13" i="6"/>
  <c r="A13" i="6"/>
  <c r="AZ12" i="6"/>
  <c r="AS12" i="6"/>
  <c r="L12" i="6"/>
  <c r="A12" i="6"/>
  <c r="AZ11" i="6"/>
  <c r="AS11" i="6"/>
  <c r="L11" i="6"/>
  <c r="A11" i="6"/>
  <c r="AZ10" i="6"/>
  <c r="AS10" i="6"/>
  <c r="L10" i="6"/>
  <c r="A10" i="6"/>
  <c r="AZ9" i="6"/>
  <c r="AS9" i="6"/>
  <c r="L9" i="6"/>
  <c r="A9" i="6"/>
  <c r="AZ8" i="6"/>
  <c r="AS8" i="6"/>
  <c r="L8" i="6"/>
  <c r="A8" i="6"/>
  <c r="AZ7" i="6"/>
  <c r="AS7" i="6"/>
  <c r="L7" i="6"/>
  <c r="A7" i="6"/>
  <c r="AZ6" i="6"/>
  <c r="AS6" i="6"/>
  <c r="L6" i="6"/>
  <c r="A6" i="6"/>
  <c r="AZ5" i="6"/>
  <c r="AS5" i="6"/>
  <c r="L5" i="6"/>
  <c r="A5" i="6"/>
  <c r="AZ4" i="6"/>
  <c r="AS4" i="6"/>
  <c r="L4" i="6"/>
  <c r="A4" i="6"/>
  <c r="AZ3" i="6"/>
  <c r="AS3" i="6"/>
  <c r="L3" i="6"/>
  <c r="A3" i="6"/>
  <c r="AZ2" i="6"/>
  <c r="AS2" i="6"/>
  <c r="L2" i="6"/>
  <c r="A2" i="6"/>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A3" i="7"/>
  <c r="A2" i="7"/>
  <c r="E28" i="2"/>
  <c r="D21" i="1"/>
  <c r="D19" i="1"/>
  <c r="D15" i="1"/>
  <c r="D13" i="1"/>
  <c r="D11" i="1"/>
  <c r="H11" i="1"/>
  <c r="H21" i="1"/>
  <c r="H19" i="1"/>
  <c r="H17" i="1"/>
  <c r="H15" i="1"/>
  <c r="H13" i="1"/>
  <c r="D5" i="2"/>
  <c r="D6" i="2"/>
  <c r="D3" i="2"/>
  <c r="A23" i="2"/>
  <c r="A44" i="2"/>
  <c r="C29" i="5"/>
  <c r="F41" i="1"/>
  <c r="C44" i="1"/>
  <c r="C48" i="5"/>
  <c r="F59" i="1"/>
  <c r="K29" i="5"/>
  <c r="F47" i="1"/>
  <c r="G27" i="5"/>
  <c r="F44" i="1"/>
  <c r="C41" i="1"/>
  <c r="A24" i="2"/>
  <c r="D15" i="5"/>
  <c r="O2" i="11"/>
  <c r="B2" i="11"/>
  <c r="O2" i="10"/>
  <c r="D9" i="5"/>
  <c r="K39" i="5"/>
  <c r="F56" i="1"/>
  <c r="D44" i="2"/>
  <c r="B2" i="4"/>
  <c r="P9" i="1"/>
  <c r="O2" i="4"/>
  <c r="F58" i="1"/>
  <c r="C38" i="5"/>
  <c r="F50" i="1"/>
  <c r="G37" i="5"/>
  <c r="F53" i="1"/>
  <c r="G50" i="5"/>
  <c r="F62" i="1"/>
  <c r="F49" i="1"/>
  <c r="F61" i="1"/>
  <c r="C42" i="1"/>
  <c r="P3" i="11"/>
  <c r="C3" i="11"/>
  <c r="W3" i="11"/>
  <c r="J3" i="11"/>
  <c r="S3" i="11"/>
  <c r="F3" i="11"/>
  <c r="W3" i="10"/>
  <c r="J3" i="10"/>
  <c r="S3" i="10"/>
  <c r="F3" i="10"/>
  <c r="C3" i="4"/>
  <c r="P3" i="10"/>
  <c r="C3" i="10"/>
  <c r="P3" i="4"/>
  <c r="F40" i="1"/>
  <c r="W3" i="4"/>
  <c r="J3" i="4"/>
  <c r="F3" i="4"/>
  <c r="S3" i="4"/>
  <c r="F46" i="1"/>
  <c r="F43" i="1"/>
  <c r="D3" i="11"/>
  <c r="D3" i="4"/>
  <c r="Q3" i="4"/>
  <c r="Q3" i="10"/>
  <c r="D3" i="10"/>
  <c r="Q3" i="11"/>
  <c r="E3" i="10"/>
  <c r="R3" i="11"/>
  <c r="E3" i="11"/>
  <c r="R3" i="4"/>
  <c r="E3" i="4"/>
  <c r="R3" i="10"/>
  <c r="V3" i="11"/>
  <c r="I3" i="11"/>
  <c r="V3" i="4"/>
  <c r="V3" i="10"/>
  <c r="I3" i="10"/>
  <c r="I3" i="4"/>
  <c r="F55" i="1"/>
  <c r="F52" i="1"/>
  <c r="U3" i="11"/>
  <c r="H3" i="11"/>
  <c r="G3" i="11"/>
  <c r="T3" i="11"/>
  <c r="T3" i="10"/>
  <c r="G3" i="10"/>
  <c r="H3" i="10"/>
  <c r="U3" i="10"/>
  <c r="G3" i="4"/>
  <c r="T3" i="4"/>
  <c r="H3" i="4"/>
  <c r="U3" i="4"/>
  <c r="B7" i="9"/>
  <c r="B8" i="9"/>
  <c r="B9" i="9"/>
  <c r="B10" i="9"/>
  <c r="B11" i="9"/>
  <c r="B12" i="9"/>
  <c r="B4" i="9"/>
  <c r="B5" i="9"/>
  <c r="B6" i="9"/>
  <c r="B9" i="3"/>
  <c r="B7" i="8"/>
  <c r="B8" i="8"/>
  <c r="B9" i="8"/>
  <c r="B10" i="8"/>
  <c r="B11" i="8"/>
  <c r="B12" i="8"/>
  <c r="B6" i="8"/>
  <c r="B4" i="8"/>
  <c r="B5" i="3"/>
  <c r="B12" i="3"/>
  <c r="B7" i="3"/>
  <c r="B8" i="3"/>
  <c r="B10" i="3"/>
  <c r="B11" i="3"/>
  <c r="B4" i="3"/>
  <c r="B6" i="3"/>
  <c r="I4" i="10"/>
  <c r="P4" i="4"/>
  <c r="W4" i="4"/>
  <c r="E4" i="4"/>
  <c r="U4" i="4" a="1"/>
  <c r="U4" i="4"/>
  <c r="D4" i="4"/>
  <c r="G4" i="4"/>
  <c r="H4" i="4" a="1"/>
  <c r="H4" i="4"/>
  <c r="S4" i="4"/>
  <c r="C4" i="4"/>
  <c r="I4" i="4"/>
  <c r="R4" i="4"/>
  <c r="V4" i="4"/>
  <c r="J4" i="4"/>
  <c r="Q4" i="4"/>
  <c r="T4" i="4"/>
  <c r="F4" i="4"/>
  <c r="W4" i="10"/>
  <c r="P4" i="10"/>
  <c r="E4" i="10"/>
  <c r="V4" i="10"/>
  <c r="D4" i="10"/>
  <c r="J4" i="10"/>
  <c r="C4" i="10"/>
  <c r="U4" i="10" a="1"/>
  <c r="U4" i="10"/>
  <c r="T4" i="10"/>
  <c r="S4" i="10"/>
  <c r="H4" i="10" a="1"/>
  <c r="H4" i="10"/>
  <c r="R4" i="10"/>
  <c r="G4" i="10"/>
  <c r="Q4" i="10"/>
  <c r="F4" i="10"/>
  <c r="H5" i="4" a="1"/>
  <c r="H5" i="4"/>
  <c r="Q6" i="4"/>
  <c r="W5" i="4"/>
  <c r="R5" i="4"/>
  <c r="I5" i="4"/>
  <c r="Q5" i="4"/>
  <c r="U5" i="4" a="1"/>
  <c r="U5" i="4"/>
  <c r="J5" i="4"/>
  <c r="D5" i="4"/>
  <c r="S5" i="4"/>
  <c r="T5" i="4"/>
  <c r="F5" i="4"/>
  <c r="P5" i="4"/>
  <c r="C5" i="4"/>
  <c r="G5" i="4"/>
  <c r="V5" i="4"/>
  <c r="E5" i="4"/>
  <c r="S5" i="10"/>
  <c r="H5" i="10" a="1"/>
  <c r="H5" i="10"/>
  <c r="R5" i="10"/>
  <c r="G5" i="10"/>
  <c r="Q5" i="10"/>
  <c r="F5" i="10"/>
  <c r="W5" i="10"/>
  <c r="P5" i="10"/>
  <c r="E5" i="10"/>
  <c r="V5" i="10"/>
  <c r="D5" i="10"/>
  <c r="J5" i="10"/>
  <c r="C5" i="10"/>
  <c r="U5" i="10" a="1"/>
  <c r="U5" i="10"/>
  <c r="I5" i="10"/>
  <c r="T5" i="10"/>
  <c r="D6" i="4"/>
  <c r="C7" i="4"/>
  <c r="R6" i="4"/>
  <c r="S6" i="4"/>
  <c r="U6" i="4" a="1"/>
  <c r="U6" i="4"/>
  <c r="W6" i="4"/>
  <c r="E6" i="4"/>
  <c r="F6" i="4"/>
  <c r="V6" i="4"/>
  <c r="I6" i="4"/>
  <c r="P6" i="4"/>
  <c r="C6" i="4"/>
  <c r="J6" i="4"/>
  <c r="H6" i="4" a="1"/>
  <c r="H6" i="4"/>
  <c r="T6" i="4"/>
  <c r="G6" i="4"/>
  <c r="J6" i="10"/>
  <c r="C6" i="10"/>
  <c r="U6" i="10" a="1"/>
  <c r="U6" i="10"/>
  <c r="I6" i="10"/>
  <c r="T6" i="10"/>
  <c r="S6" i="10"/>
  <c r="H6" i="10" a="1"/>
  <c r="H6" i="10"/>
  <c r="R6" i="10"/>
  <c r="G6" i="10"/>
  <c r="Q6" i="10"/>
  <c r="F6" i="10"/>
  <c r="W6" i="10"/>
  <c r="P6" i="10"/>
  <c r="E6" i="10"/>
  <c r="D6" i="10"/>
  <c r="V6" i="10"/>
  <c r="U7" i="4" a="1"/>
  <c r="U7" i="4"/>
  <c r="W7" i="4"/>
  <c r="F7" i="4"/>
  <c r="I8" i="4"/>
  <c r="Q7" i="4"/>
  <c r="D7" i="4"/>
  <c r="R7" i="4"/>
  <c r="H7" i="4" a="1"/>
  <c r="H7" i="4"/>
  <c r="G7" i="4"/>
  <c r="E7" i="4"/>
  <c r="I7" i="4"/>
  <c r="V7" i="4"/>
  <c r="S7" i="4"/>
  <c r="J7" i="4"/>
  <c r="T7" i="4"/>
  <c r="P7" i="4"/>
  <c r="Q7" i="10"/>
  <c r="F7" i="10"/>
  <c r="W7" i="10"/>
  <c r="P7" i="10"/>
  <c r="E7" i="10"/>
  <c r="V7" i="10"/>
  <c r="D7" i="10"/>
  <c r="J7" i="10"/>
  <c r="C7" i="10"/>
  <c r="U7" i="10" a="1"/>
  <c r="U7" i="10"/>
  <c r="I7" i="10"/>
  <c r="T7" i="10"/>
  <c r="S7" i="10"/>
  <c r="H7" i="10" a="1"/>
  <c r="H7" i="10"/>
  <c r="G7" i="10"/>
  <c r="R7" i="10"/>
  <c r="H8" i="4" a="1"/>
  <c r="H8" i="4"/>
  <c r="U8" i="4" a="1"/>
  <c r="U8" i="4"/>
  <c r="V8" i="4"/>
  <c r="R8" i="4"/>
  <c r="C8" i="4"/>
  <c r="Q8" i="4"/>
  <c r="E8" i="4"/>
  <c r="G8" i="4"/>
  <c r="J8" i="4"/>
  <c r="P8" i="4"/>
  <c r="D8" i="4"/>
  <c r="T8" i="4"/>
  <c r="S8" i="4"/>
  <c r="W8" i="4"/>
  <c r="F8" i="4"/>
  <c r="E9" i="4"/>
  <c r="T8" i="10"/>
  <c r="S8" i="10"/>
  <c r="H8" i="10" a="1"/>
  <c r="H8" i="10"/>
  <c r="R8" i="10"/>
  <c r="G8" i="10"/>
  <c r="Q8" i="10"/>
  <c r="F8" i="10"/>
  <c r="W8" i="10"/>
  <c r="P8" i="10"/>
  <c r="E8" i="10"/>
  <c r="V8" i="10"/>
  <c r="D8" i="10"/>
  <c r="J8" i="10"/>
  <c r="C8" i="10"/>
  <c r="U8" i="10" a="1"/>
  <c r="U8" i="10"/>
  <c r="I8" i="10"/>
  <c r="P9" i="4"/>
  <c r="J9" i="4"/>
  <c r="D9" i="4"/>
  <c r="H9" i="4" a="1"/>
  <c r="H9" i="4"/>
  <c r="T9" i="4"/>
  <c r="I9" i="4"/>
  <c r="Q9" i="4"/>
  <c r="U9" i="4" a="1"/>
  <c r="U9" i="4"/>
  <c r="F9" i="4"/>
  <c r="C9" i="4"/>
  <c r="W9" i="4"/>
  <c r="S9" i="4"/>
  <c r="G9" i="4"/>
  <c r="R9" i="4"/>
  <c r="V9" i="4"/>
  <c r="V9" i="10"/>
  <c r="D9" i="10"/>
  <c r="J9" i="10"/>
  <c r="C9" i="10"/>
  <c r="U9" i="10" a="1"/>
  <c r="U9" i="10"/>
  <c r="I9" i="10"/>
  <c r="T9" i="10"/>
  <c r="S9" i="10"/>
  <c r="H9" i="10" a="1"/>
  <c r="H9" i="10"/>
  <c r="R9" i="10"/>
  <c r="G9" i="10"/>
  <c r="Q9" i="10"/>
  <c r="F9" i="10"/>
  <c r="P9" i="10"/>
  <c r="E9" i="10"/>
  <c r="W9" i="10"/>
  <c r="E10" i="4"/>
  <c r="V10" i="4"/>
  <c r="S10" i="4"/>
  <c r="H10" i="4" a="1"/>
  <c r="H10" i="4"/>
  <c r="F10" i="4"/>
  <c r="G10" i="4"/>
  <c r="W10" i="4"/>
  <c r="U10" i="4" a="1"/>
  <c r="U10" i="4"/>
  <c r="P10" i="4"/>
  <c r="T10" i="4"/>
  <c r="C10" i="4"/>
  <c r="D10" i="4"/>
  <c r="I10" i="4"/>
  <c r="Q10" i="4"/>
  <c r="R10" i="4"/>
  <c r="J10" i="4"/>
  <c r="R10" i="10"/>
  <c r="G10" i="10"/>
  <c r="Q10" i="10"/>
  <c r="F10" i="10"/>
  <c r="W10" i="10"/>
  <c r="P10" i="10"/>
  <c r="E10" i="10"/>
  <c r="V10" i="10"/>
  <c r="D10" i="10"/>
  <c r="J10" i="10"/>
  <c r="C10" i="10"/>
  <c r="U10" i="10" a="1"/>
  <c r="U10" i="10"/>
  <c r="I10" i="10"/>
  <c r="T10" i="10"/>
  <c r="S10" i="10"/>
  <c r="H10" i="10" a="1"/>
  <c r="H10" i="10"/>
  <c r="H11" i="4" a="1"/>
  <c r="H11" i="4"/>
  <c r="U11" i="4" a="1"/>
  <c r="U11" i="4"/>
  <c r="W11" i="4"/>
  <c r="J11" i="4"/>
  <c r="V11" i="4"/>
  <c r="G11" i="4"/>
  <c r="F11" i="4"/>
  <c r="P11" i="4"/>
  <c r="E11" i="4"/>
  <c r="C11" i="4"/>
  <c r="I11" i="4"/>
  <c r="Q11" i="4"/>
  <c r="R11" i="4"/>
  <c r="S11" i="4"/>
  <c r="T11" i="4"/>
  <c r="D11" i="4"/>
  <c r="Q11" i="10"/>
  <c r="I11" i="10"/>
  <c r="U11" i="10" a="1"/>
  <c r="U11" i="10"/>
  <c r="T11" i="10"/>
  <c r="H11" i="10" a="1"/>
  <c r="H11" i="10"/>
  <c r="S11" i="10"/>
  <c r="G11" i="10"/>
  <c r="R11" i="10"/>
  <c r="F11" i="10"/>
  <c r="P11" i="10"/>
  <c r="E11" i="10"/>
  <c r="W11" i="10"/>
  <c r="D11" i="10"/>
  <c r="V11" i="10"/>
  <c r="J11" i="10"/>
  <c r="C11" i="10"/>
  <c r="H12" i="4" a="1"/>
  <c r="H12" i="4"/>
  <c r="P12" i="4"/>
  <c r="I12" i="4"/>
  <c r="J12" i="4"/>
  <c r="F12" i="4"/>
  <c r="W12" i="4"/>
  <c r="U12" i="4" a="1"/>
  <c r="U12" i="4"/>
  <c r="G12" i="4"/>
  <c r="E12" i="4"/>
  <c r="V12" i="4"/>
  <c r="Q12" i="4"/>
  <c r="T12" i="4"/>
  <c r="R12" i="4"/>
  <c r="C12" i="4"/>
  <c r="S12" i="4"/>
  <c r="D12" i="4"/>
  <c r="V12" i="10"/>
  <c r="D12" i="10"/>
  <c r="T12" i="10"/>
  <c r="H12" i="10" a="1"/>
  <c r="H12" i="10"/>
  <c r="U12" i="10" a="1"/>
  <c r="U12" i="10"/>
  <c r="G12" i="10"/>
  <c r="S12" i="10"/>
  <c r="F12" i="10"/>
  <c r="R12" i="10"/>
  <c r="E12" i="10"/>
  <c r="Q12" i="10"/>
  <c r="C12" i="10"/>
  <c r="P12" i="10"/>
  <c r="J12" i="10"/>
  <c r="W12" i="10"/>
  <c r="I12" i="10"/>
  <c r="S13" i="4"/>
  <c r="R13" i="4"/>
  <c r="T13" i="4"/>
  <c r="C13" i="4"/>
  <c r="H13" i="4" a="1"/>
  <c r="H13" i="4"/>
  <c r="F13" i="4"/>
  <c r="W13" i="4"/>
  <c r="E13" i="4"/>
  <c r="G13" i="4"/>
  <c r="P13" i="4"/>
  <c r="D13" i="4"/>
  <c r="V13" i="4"/>
  <c r="Q13" i="4"/>
  <c r="J13" i="4"/>
  <c r="U13" i="4" a="1"/>
  <c r="U13" i="4"/>
  <c r="I13" i="4"/>
  <c r="R13" i="10"/>
  <c r="G13" i="10"/>
  <c r="V13" i="10"/>
  <c r="D13" i="10"/>
  <c r="U13" i="10" a="1"/>
  <c r="U13" i="10"/>
  <c r="H13" i="10" a="1"/>
  <c r="H13" i="10"/>
  <c r="T13" i="10"/>
  <c r="F13" i="10"/>
  <c r="S13" i="10"/>
  <c r="E13" i="10"/>
  <c r="Q13" i="10"/>
  <c r="C13" i="10"/>
  <c r="P13" i="10"/>
  <c r="J13" i="10"/>
  <c r="W13" i="10"/>
  <c r="I13" i="10"/>
  <c r="G14" i="4"/>
  <c r="D14" i="4"/>
  <c r="S14" i="4"/>
  <c r="H14" i="4" a="1"/>
  <c r="H14" i="4"/>
  <c r="F14" i="4"/>
  <c r="E14" i="4"/>
  <c r="C14" i="4"/>
  <c r="R14" i="4"/>
  <c r="Q14" i="4"/>
  <c r="P14" i="4"/>
  <c r="V14" i="4"/>
  <c r="W14" i="4"/>
  <c r="T14" i="4"/>
  <c r="J14" i="4"/>
  <c r="U14" i="4" a="1"/>
  <c r="U14" i="4"/>
  <c r="I14" i="4"/>
  <c r="U14" i="10" a="1"/>
  <c r="U14" i="10"/>
  <c r="I14" i="10"/>
  <c r="R14" i="10"/>
  <c r="G14" i="10"/>
  <c r="Q14" i="10"/>
  <c r="F14" i="10"/>
  <c r="J14" i="10"/>
  <c r="W14" i="10"/>
  <c r="V14" i="10"/>
  <c r="H14" i="10" a="1"/>
  <c r="H14" i="10"/>
  <c r="E14" i="10"/>
  <c r="T14" i="10"/>
  <c r="D14" i="10"/>
  <c r="S14" i="10"/>
  <c r="C14" i="10"/>
  <c r="P14" i="10"/>
  <c r="F15" i="4"/>
  <c r="Q15" i="4"/>
  <c r="S15" i="4"/>
  <c r="R15" i="4"/>
  <c r="J15" i="4"/>
  <c r="E15" i="4"/>
  <c r="V15" i="4"/>
  <c r="I15" i="4"/>
  <c r="C15" i="4"/>
  <c r="D15" i="4"/>
  <c r="G15" i="4"/>
  <c r="P15" i="4"/>
  <c r="W15" i="4"/>
  <c r="U15" i="4" a="1"/>
  <c r="U15" i="4"/>
  <c r="T15" i="4"/>
  <c r="H15" i="4" a="1"/>
  <c r="H15" i="4"/>
  <c r="W15" i="10"/>
  <c r="P15" i="10"/>
  <c r="E15" i="10"/>
  <c r="U15" i="10" a="1"/>
  <c r="U15" i="10"/>
  <c r="I15" i="10"/>
  <c r="T15" i="10"/>
  <c r="R15" i="10"/>
  <c r="C15" i="10"/>
  <c r="Q15" i="10"/>
  <c r="J15" i="10"/>
  <c r="H15" i="10" a="1"/>
  <c r="H15" i="10"/>
  <c r="V15" i="10"/>
  <c r="G15" i="10"/>
  <c r="F15" i="10"/>
  <c r="S15" i="10"/>
  <c r="D15" i="10"/>
  <c r="D16" i="4"/>
  <c r="W16" i="4"/>
  <c r="R16" i="4"/>
  <c r="H16" i="4" a="1"/>
  <c r="H16" i="4"/>
  <c r="S16" i="4"/>
  <c r="F16" i="4"/>
  <c r="Q16" i="4"/>
  <c r="V16" i="4"/>
  <c r="J16" i="4"/>
  <c r="U16" i="4" a="1"/>
  <c r="U16" i="4"/>
  <c r="P16" i="4"/>
  <c r="G16" i="4"/>
  <c r="C16" i="4"/>
  <c r="I16" i="4"/>
  <c r="E16" i="4"/>
  <c r="T16" i="4"/>
  <c r="S16" i="10"/>
  <c r="H16" i="10" a="1"/>
  <c r="H16" i="10"/>
  <c r="W16" i="10"/>
  <c r="P16" i="10"/>
  <c r="E16" i="10"/>
  <c r="V16" i="10"/>
  <c r="D16" i="10"/>
  <c r="G16" i="10"/>
  <c r="U16" i="10" a="1"/>
  <c r="U16" i="10"/>
  <c r="F16" i="10"/>
  <c r="T16" i="10"/>
  <c r="C16" i="10"/>
  <c r="R16" i="10"/>
  <c r="Q16" i="10"/>
  <c r="J16" i="10"/>
  <c r="I16" i="10"/>
  <c r="S17" i="4"/>
  <c r="U17" i="4" a="1"/>
  <c r="U17" i="4"/>
  <c r="J17" i="4"/>
  <c r="H17" i="4" a="1"/>
  <c r="H17" i="4"/>
  <c r="E17" i="4"/>
  <c r="R17" i="4"/>
  <c r="W17" i="4"/>
  <c r="Q17" i="4"/>
  <c r="G17" i="4"/>
  <c r="D17" i="4"/>
  <c r="V17" i="4"/>
  <c r="F17" i="4"/>
  <c r="T17" i="4"/>
  <c r="P17" i="4"/>
  <c r="C17" i="4"/>
  <c r="I17" i="4"/>
  <c r="J17" i="10"/>
  <c r="C17" i="10"/>
  <c r="S17" i="10"/>
  <c r="H17" i="10" a="1"/>
  <c r="H17" i="10"/>
  <c r="R17" i="10"/>
  <c r="G17" i="10"/>
  <c r="I17" i="10"/>
  <c r="W17" i="10"/>
  <c r="V17" i="10"/>
  <c r="F17" i="10"/>
  <c r="U17" i="10" a="1"/>
  <c r="U17" i="10"/>
  <c r="E17" i="10"/>
  <c r="T17" i="10"/>
  <c r="D17" i="10"/>
  <c r="Q17" i="10"/>
  <c r="P17" i="10"/>
  <c r="P18" i="4"/>
  <c r="H18" i="4" a="1"/>
  <c r="H18" i="4"/>
  <c r="T18" i="4"/>
  <c r="E18" i="4"/>
  <c r="S18" i="4"/>
  <c r="J18" i="4"/>
  <c r="V18" i="4"/>
  <c r="C18" i="4"/>
  <c r="F18" i="4"/>
  <c r="G18" i="4"/>
  <c r="D18" i="4"/>
  <c r="U18" i="4" a="1"/>
  <c r="U18" i="4"/>
  <c r="W18" i="4"/>
  <c r="Q18" i="4"/>
  <c r="I18" i="4"/>
  <c r="R18" i="4"/>
  <c r="Q18" i="10"/>
  <c r="F18" i="10"/>
  <c r="J18" i="10"/>
  <c r="C18" i="10"/>
  <c r="U18" i="10" a="1"/>
  <c r="U18" i="10"/>
  <c r="I18" i="10"/>
  <c r="S18" i="10"/>
  <c r="D18" i="10"/>
  <c r="R18" i="10"/>
  <c r="P18" i="10"/>
  <c r="W18" i="10"/>
  <c r="H18" i="10" a="1"/>
  <c r="H18" i="10"/>
  <c r="V18" i="10"/>
  <c r="G18" i="10"/>
  <c r="T18" i="10"/>
  <c r="E18" i="10"/>
  <c r="H19" i="4" a="1"/>
  <c r="H19" i="4"/>
  <c r="Q19" i="4"/>
  <c r="T19" i="4"/>
  <c r="R19" i="4"/>
  <c r="I19" i="4"/>
  <c r="U19" i="4" a="1"/>
  <c r="U19" i="4"/>
  <c r="D19" i="4"/>
  <c r="P19" i="4"/>
  <c r="F19" i="4"/>
  <c r="G19" i="4"/>
  <c r="V19" i="4"/>
  <c r="C19" i="4"/>
  <c r="W19" i="4"/>
  <c r="J19" i="4"/>
  <c r="E19" i="4"/>
  <c r="S19" i="4"/>
  <c r="T19" i="10"/>
  <c r="Q19" i="10"/>
  <c r="F19" i="10"/>
  <c r="W19" i="10"/>
  <c r="P19" i="10"/>
  <c r="E19" i="10"/>
  <c r="V19" i="10"/>
  <c r="H19" i="10" a="1"/>
  <c r="H19" i="10"/>
  <c r="G19" i="10"/>
  <c r="U19" i="10" a="1"/>
  <c r="U19" i="10"/>
  <c r="D19" i="10"/>
  <c r="S19" i="10"/>
  <c r="C19" i="10"/>
  <c r="R19" i="10"/>
  <c r="J19" i="10"/>
  <c r="I19" i="10"/>
  <c r="D20" i="4"/>
  <c r="W20" i="4"/>
  <c r="V20" i="4"/>
  <c r="J20" i="4"/>
  <c r="Q20" i="4"/>
  <c r="S20" i="4"/>
  <c r="T20" i="4"/>
  <c r="P20" i="4"/>
  <c r="R20" i="4"/>
  <c r="G20" i="4"/>
  <c r="I20" i="4"/>
  <c r="F20" i="4"/>
  <c r="E20" i="4"/>
  <c r="H20" i="4" a="1"/>
  <c r="H20" i="4"/>
  <c r="C20" i="4"/>
  <c r="U20" i="4" a="1"/>
  <c r="U20" i="4"/>
  <c r="V20" i="10"/>
  <c r="D20" i="10"/>
  <c r="T20" i="10"/>
  <c r="S20" i="10"/>
  <c r="H20" i="10" a="1"/>
  <c r="H20" i="10"/>
  <c r="P20" i="10"/>
  <c r="J20" i="10"/>
  <c r="I20" i="10"/>
  <c r="W20" i="10"/>
  <c r="G20" i="10"/>
  <c r="F20" i="10"/>
  <c r="U20" i="10" a="1"/>
  <c r="U20" i="10"/>
  <c r="E20" i="10"/>
  <c r="R20" i="10"/>
  <c r="C20" i="10"/>
  <c r="Q20" i="10"/>
  <c r="W21" i="4"/>
  <c r="J21" i="4"/>
  <c r="I21" i="4"/>
  <c r="S21" i="4"/>
  <c r="R21" i="4"/>
  <c r="C21" i="4"/>
  <c r="H21" i="4" a="1"/>
  <c r="H21" i="4"/>
  <c r="F21" i="4"/>
  <c r="V21" i="4"/>
  <c r="P21" i="4"/>
  <c r="G21" i="4"/>
  <c r="U21" i="4" a="1"/>
  <c r="U21" i="4"/>
  <c r="E21" i="4"/>
  <c r="D21" i="4"/>
  <c r="T21" i="4"/>
  <c r="Q21" i="4"/>
  <c r="R21" i="10"/>
  <c r="G21" i="10"/>
  <c r="V21" i="10"/>
  <c r="D21" i="10"/>
  <c r="J21" i="10"/>
  <c r="C21" i="10"/>
  <c r="T21" i="10"/>
  <c r="E21" i="10"/>
  <c r="S21" i="10"/>
  <c r="Q21" i="10"/>
  <c r="P21" i="10"/>
  <c r="I21" i="10"/>
  <c r="W21" i="10"/>
  <c r="H21" i="10" a="1"/>
  <c r="H21" i="10"/>
  <c r="U21" i="10" a="1"/>
  <c r="U21" i="10"/>
  <c r="F21" i="10"/>
  <c r="Q22" i="4"/>
  <c r="I22" i="4"/>
  <c r="J22" i="4"/>
  <c r="R22" i="4"/>
  <c r="V22" i="4"/>
  <c r="T22" i="4"/>
  <c r="S22" i="4"/>
  <c r="H22" i="4" a="1"/>
  <c r="H22" i="4"/>
  <c r="D22" i="4"/>
  <c r="G22" i="4"/>
  <c r="P22" i="4"/>
  <c r="U22" i="4" a="1"/>
  <c r="U22" i="4"/>
  <c r="C22" i="4"/>
  <c r="E22" i="4"/>
  <c r="F22" i="4"/>
  <c r="W22" i="4"/>
  <c r="U22" i="10" a="1"/>
  <c r="U22" i="10"/>
  <c r="I22" i="10"/>
  <c r="R22" i="10"/>
  <c r="G22" i="10"/>
  <c r="Q22" i="10"/>
  <c r="F22" i="10"/>
  <c r="W22" i="10"/>
  <c r="V22" i="10"/>
  <c r="H22" i="10" a="1"/>
  <c r="H22" i="10"/>
  <c r="E22" i="10"/>
  <c r="T22" i="10"/>
  <c r="D22" i="10"/>
  <c r="S22" i="10"/>
  <c r="C22" i="10"/>
  <c r="P22" i="10"/>
  <c r="J22" i="10"/>
  <c r="Q23" i="4"/>
  <c r="E23" i="4"/>
  <c r="I23" i="4"/>
  <c r="T23" i="4"/>
  <c r="G23" i="4"/>
  <c r="R23" i="4"/>
  <c r="F23" i="4"/>
  <c r="S23" i="4"/>
  <c r="W23" i="4"/>
  <c r="P23" i="4"/>
  <c r="D23" i="4"/>
  <c r="V23" i="4"/>
  <c r="H23" i="4" a="1"/>
  <c r="H23" i="4"/>
  <c r="C23" i="4"/>
  <c r="J23" i="4"/>
  <c r="U23" i="4" a="1"/>
  <c r="U23" i="4"/>
  <c r="W23" i="10"/>
  <c r="P23" i="10"/>
  <c r="E23" i="10"/>
  <c r="U23" i="10" a="1"/>
  <c r="U23" i="10"/>
  <c r="I23" i="10"/>
  <c r="T23" i="10"/>
  <c r="Q23" i="10"/>
  <c r="J23" i="10"/>
  <c r="H23" i="10" a="1"/>
  <c r="H23" i="10"/>
  <c r="V23" i="10"/>
  <c r="G23" i="10"/>
  <c r="F23" i="10"/>
  <c r="S23" i="10"/>
  <c r="D23" i="10"/>
  <c r="R23" i="10"/>
  <c r="C23" i="10"/>
  <c r="F24" i="4"/>
  <c r="U24" i="4" a="1"/>
  <c r="U24" i="4"/>
  <c r="G24" i="4"/>
  <c r="V24" i="4"/>
  <c r="C24" i="4"/>
  <c r="P24" i="4"/>
  <c r="T24" i="4"/>
  <c r="E24" i="4"/>
  <c r="S24" i="4"/>
  <c r="H24" i="4" a="1"/>
  <c r="H24" i="4"/>
  <c r="I24" i="4"/>
  <c r="J24" i="4"/>
  <c r="Q24" i="4"/>
  <c r="D24" i="4"/>
  <c r="R24" i="4"/>
  <c r="W24" i="4"/>
  <c r="S24" i="10"/>
  <c r="H24" i="10" a="1"/>
  <c r="H24" i="10"/>
  <c r="W24" i="10"/>
  <c r="P24" i="10"/>
  <c r="E24" i="10"/>
  <c r="V24" i="10"/>
  <c r="D24" i="10"/>
  <c r="U24" i="10" a="1"/>
  <c r="U24" i="10"/>
  <c r="F24" i="10"/>
  <c r="T24" i="10"/>
  <c r="C24" i="10"/>
  <c r="R24" i="10"/>
  <c r="Q24" i="10"/>
  <c r="J24" i="10"/>
  <c r="I24" i="10"/>
  <c r="G24" i="10"/>
  <c r="P25" i="4"/>
  <c r="W25" i="4"/>
  <c r="G25" i="4"/>
  <c r="F25" i="4"/>
  <c r="E25" i="4"/>
  <c r="T25" i="4"/>
  <c r="V25" i="4"/>
  <c r="D25" i="4"/>
  <c r="J25" i="4"/>
  <c r="I25" i="4"/>
  <c r="R25" i="4"/>
  <c r="C25" i="4"/>
  <c r="U25" i="4" a="1"/>
  <c r="U25" i="4"/>
  <c r="Q25" i="4"/>
  <c r="H25" i="4" a="1"/>
  <c r="H25" i="4"/>
  <c r="S25" i="4"/>
  <c r="J25" i="10"/>
  <c r="C25" i="10"/>
  <c r="S25" i="10"/>
  <c r="H25" i="10" a="1"/>
  <c r="H25" i="10"/>
  <c r="R25" i="10"/>
  <c r="G25" i="10"/>
  <c r="I25" i="10"/>
  <c r="W25" i="10"/>
  <c r="V25" i="10"/>
  <c r="F25" i="10"/>
  <c r="U25" i="10" a="1"/>
  <c r="U25" i="10"/>
  <c r="E25" i="10"/>
  <c r="T25" i="10"/>
  <c r="D25" i="10"/>
  <c r="Q25" i="10"/>
  <c r="P25" i="10"/>
  <c r="S26" i="4"/>
  <c r="U26" i="4" a="1"/>
  <c r="U26" i="4"/>
  <c r="J26" i="4"/>
  <c r="E26" i="4"/>
  <c r="H26" i="4" a="1"/>
  <c r="H26" i="4"/>
  <c r="R26" i="4"/>
  <c r="W26" i="4"/>
  <c r="T26" i="4"/>
  <c r="V26" i="4"/>
  <c r="G26" i="4"/>
  <c r="C26" i="4"/>
  <c r="F26" i="4"/>
  <c r="I26" i="4"/>
  <c r="Q26" i="4"/>
  <c r="D26" i="4"/>
  <c r="P26" i="4"/>
  <c r="Q26" i="10"/>
  <c r="F26" i="10"/>
  <c r="J26" i="10"/>
  <c r="C26" i="10"/>
  <c r="U26" i="10" a="1"/>
  <c r="U26" i="10"/>
  <c r="I26" i="10"/>
  <c r="R26" i="10"/>
  <c r="P26" i="10"/>
  <c r="W26" i="10"/>
  <c r="H26" i="10" a="1"/>
  <c r="H26" i="10"/>
  <c r="V26" i="10"/>
  <c r="G26" i="10"/>
  <c r="T26" i="10"/>
  <c r="E26" i="10"/>
  <c r="S26" i="10"/>
  <c r="D26" i="10"/>
  <c r="G27" i="4"/>
  <c r="D27" i="4"/>
  <c r="U27" i="4" a="1"/>
  <c r="U27" i="4"/>
  <c r="V27" i="4"/>
  <c r="I27" i="4"/>
  <c r="S27" i="4"/>
  <c r="T27" i="4"/>
  <c r="C27" i="4"/>
  <c r="H27" i="4" a="1"/>
  <c r="H27" i="4"/>
  <c r="W27" i="4"/>
  <c r="F27" i="4"/>
  <c r="J27" i="4"/>
  <c r="P27" i="4"/>
  <c r="R27" i="4"/>
  <c r="E27" i="4"/>
  <c r="Q27" i="4"/>
  <c r="T27" i="10"/>
  <c r="Q27" i="10"/>
  <c r="F27" i="10"/>
  <c r="W27" i="10"/>
  <c r="P27" i="10"/>
  <c r="E27" i="10"/>
  <c r="G27" i="10"/>
  <c r="U27" i="10" a="1"/>
  <c r="U27" i="10"/>
  <c r="D27" i="10"/>
  <c r="S27" i="10"/>
  <c r="C27" i="10"/>
  <c r="R27" i="10"/>
  <c r="J27" i="10"/>
  <c r="I27" i="10"/>
  <c r="H27" i="10" a="1"/>
  <c r="H27" i="10"/>
  <c r="V27" i="10"/>
  <c r="H28" i="4" a="1"/>
  <c r="H28" i="4"/>
  <c r="T28" i="4"/>
  <c r="V28" i="4"/>
  <c r="U28" i="4" a="1"/>
  <c r="U28" i="4"/>
  <c r="W28" i="4"/>
  <c r="R28" i="4"/>
  <c r="F28" i="4"/>
  <c r="P28" i="4"/>
  <c r="Q28" i="4"/>
  <c r="C28" i="4"/>
  <c r="E28" i="4"/>
  <c r="D28" i="4"/>
  <c r="I28" i="4"/>
  <c r="G28" i="4"/>
  <c r="J28" i="4"/>
  <c r="S28" i="4"/>
  <c r="T28" i="10"/>
  <c r="D28" i="10"/>
  <c r="U28" i="10" a="1"/>
  <c r="U28" i="10"/>
  <c r="S28" i="10"/>
  <c r="H28" i="10" a="1"/>
  <c r="H28" i="10"/>
  <c r="J28" i="10"/>
  <c r="I28" i="10"/>
  <c r="G28" i="10"/>
  <c r="W28" i="10"/>
  <c r="F28" i="10"/>
  <c r="V28" i="10"/>
  <c r="E28" i="10"/>
  <c r="R28" i="10"/>
  <c r="C28" i="10"/>
  <c r="Q28" i="10"/>
  <c r="P28" i="10"/>
  <c r="P29" i="4"/>
  <c r="I29" i="4"/>
  <c r="Q29" i="4"/>
  <c r="U29" i="4" a="1"/>
  <c r="U29" i="4"/>
  <c r="G29" i="4"/>
  <c r="S29" i="4"/>
  <c r="H29" i="4" a="1"/>
  <c r="H29" i="4"/>
  <c r="V29" i="4"/>
  <c r="E29" i="4"/>
  <c r="J29" i="4"/>
  <c r="W29" i="4"/>
  <c r="T29" i="4"/>
  <c r="F29" i="4"/>
  <c r="D29" i="4"/>
  <c r="R29" i="4"/>
  <c r="C29" i="4"/>
  <c r="Q29" i="10"/>
  <c r="F29" i="10"/>
  <c r="V29" i="10"/>
  <c r="D29" i="10"/>
  <c r="J29" i="10"/>
  <c r="U29" i="10" a="1"/>
  <c r="U29" i="10"/>
  <c r="H29" i="10" a="1"/>
  <c r="H29" i="10"/>
  <c r="T29" i="10"/>
  <c r="G29" i="10"/>
  <c r="E29" i="10"/>
  <c r="W29" i="10"/>
  <c r="C29" i="10"/>
  <c r="S29" i="10"/>
  <c r="R29" i="10"/>
  <c r="P29" i="10"/>
  <c r="I29" i="10"/>
  <c r="J30" i="4"/>
  <c r="U30" i="4" a="1"/>
  <c r="U30" i="4"/>
  <c r="S30" i="4"/>
  <c r="I30" i="4"/>
  <c r="F30" i="4"/>
  <c r="W30" i="4"/>
  <c r="V30" i="4"/>
  <c r="G30" i="4"/>
  <c r="T30" i="4"/>
  <c r="D30" i="4"/>
  <c r="R30" i="4"/>
  <c r="E30" i="4"/>
  <c r="H30" i="4" a="1"/>
  <c r="H30" i="4"/>
  <c r="C30" i="4"/>
  <c r="Q30" i="4"/>
  <c r="P30" i="4"/>
  <c r="T30" i="10"/>
  <c r="R30" i="10"/>
  <c r="G30" i="10"/>
  <c r="H30" i="10" a="1"/>
  <c r="H30" i="10"/>
  <c r="U30" i="10" a="1"/>
  <c r="U30" i="10"/>
  <c r="F30" i="10"/>
  <c r="V30" i="10"/>
  <c r="C30" i="10"/>
  <c r="S30" i="10"/>
  <c r="Q30" i="10"/>
  <c r="P30" i="10"/>
  <c r="J30" i="10"/>
  <c r="I30" i="10"/>
  <c r="E30" i="10"/>
  <c r="W30" i="10"/>
  <c r="D30" i="10"/>
  <c r="V31" i="4"/>
  <c r="W31" i="4"/>
  <c r="R31" i="4"/>
  <c r="G31" i="4"/>
  <c r="Q31" i="4"/>
  <c r="T31" i="4"/>
  <c r="D31" i="4"/>
  <c r="F31" i="4"/>
  <c r="I31" i="4"/>
  <c r="S31" i="4"/>
  <c r="C31" i="4"/>
  <c r="H31" i="4" a="1"/>
  <c r="H31" i="4"/>
  <c r="J31" i="4"/>
  <c r="U31" i="4" a="1"/>
  <c r="U31" i="4"/>
  <c r="P31" i="4"/>
  <c r="E31" i="4"/>
  <c r="C32" i="4"/>
  <c r="V31" i="10"/>
  <c r="D31" i="10"/>
  <c r="U31" i="10" a="1"/>
  <c r="U31" i="10"/>
  <c r="I31" i="10"/>
  <c r="P31" i="10"/>
  <c r="H31" i="10" a="1"/>
  <c r="H31" i="10"/>
  <c r="T31" i="10"/>
  <c r="G31" i="10"/>
  <c r="R31" i="10"/>
  <c r="Q31" i="10"/>
  <c r="J31" i="10"/>
  <c r="F31" i="10"/>
  <c r="E31" i="10"/>
  <c r="W31" i="10"/>
  <c r="C31" i="10"/>
  <c r="S31" i="10"/>
  <c r="P32" i="4"/>
  <c r="Q32" i="4"/>
  <c r="J32" i="4"/>
  <c r="F32" i="4"/>
  <c r="W32" i="4"/>
  <c r="T32" i="4"/>
  <c r="D32" i="4"/>
  <c r="I32" i="4"/>
  <c r="R32" i="4"/>
  <c r="E32" i="4"/>
  <c r="S32" i="4"/>
  <c r="V32" i="4"/>
  <c r="U32" i="4" a="1"/>
  <c r="U32" i="4"/>
  <c r="G32" i="4"/>
  <c r="H32" i="4" a="1"/>
  <c r="H32" i="4"/>
  <c r="F33" i="4"/>
  <c r="V33" i="4"/>
  <c r="R32" i="10"/>
  <c r="G32" i="10"/>
  <c r="W32" i="10"/>
  <c r="P32" i="10"/>
  <c r="E32" i="10"/>
  <c r="U32" i="10" a="1"/>
  <c r="U32" i="10"/>
  <c r="H32" i="10" a="1"/>
  <c r="H32" i="10"/>
  <c r="J32" i="10"/>
  <c r="I32" i="10"/>
  <c r="F32" i="10"/>
  <c r="D32" i="10"/>
  <c r="V32" i="10"/>
  <c r="C32" i="10"/>
  <c r="T32" i="10"/>
  <c r="S32" i="10"/>
  <c r="Q32" i="10"/>
  <c r="G33" i="4"/>
  <c r="U33" i="4" a="1"/>
  <c r="U33" i="4"/>
  <c r="Q33" i="4"/>
  <c r="E33" i="4"/>
  <c r="W33" i="4"/>
  <c r="C33" i="4"/>
  <c r="S33" i="4"/>
  <c r="H33" i="4" a="1"/>
  <c r="H33" i="4"/>
  <c r="P33" i="4"/>
  <c r="R33" i="4"/>
  <c r="I33" i="4"/>
  <c r="J33" i="4"/>
  <c r="D33" i="4"/>
  <c r="T33" i="4"/>
  <c r="I34" i="4"/>
  <c r="U33" i="10" a="1"/>
  <c r="U33" i="10"/>
  <c r="I33" i="10"/>
  <c r="S33" i="10"/>
  <c r="H33" i="10" a="1"/>
  <c r="H33" i="10"/>
  <c r="P33" i="10"/>
  <c r="C33" i="10"/>
  <c r="V33" i="10"/>
  <c r="G33" i="10"/>
  <c r="F33" i="10"/>
  <c r="E33" i="10"/>
  <c r="W33" i="10"/>
  <c r="D33" i="10"/>
  <c r="T33" i="10"/>
  <c r="R33" i="10"/>
  <c r="Q33" i="10"/>
  <c r="J33" i="10"/>
  <c r="W34" i="4"/>
  <c r="E34" i="4"/>
  <c r="V34" i="4"/>
  <c r="T34" i="4"/>
  <c r="U34" i="4" a="1"/>
  <c r="U34" i="4"/>
  <c r="D34" i="4"/>
  <c r="Q34" i="4"/>
  <c r="G34" i="4"/>
  <c r="F34" i="4"/>
  <c r="C34" i="4"/>
  <c r="J34" i="4"/>
  <c r="S34" i="4"/>
  <c r="H34" i="4" a="1"/>
  <c r="H34" i="4"/>
  <c r="P34" i="4"/>
  <c r="R34" i="4"/>
  <c r="W34" i="10"/>
  <c r="P34" i="10"/>
  <c r="E34" i="10"/>
  <c r="J34" i="10"/>
  <c r="C34" i="10"/>
  <c r="Q34" i="10"/>
  <c r="V34" i="10"/>
  <c r="U34" i="10" a="1"/>
  <c r="U34" i="10"/>
  <c r="H34" i="10" a="1"/>
  <c r="H34" i="10"/>
  <c r="D34" i="10"/>
  <c r="T34" i="10"/>
  <c r="S34" i="10"/>
  <c r="R34" i="10"/>
  <c r="I34" i="10"/>
  <c r="G34" i="10"/>
  <c r="F34" i="10"/>
  <c r="U35" i="4" a="1"/>
  <c r="U35" i="4"/>
  <c r="G35" i="4"/>
  <c r="S35" i="4"/>
  <c r="Q35" i="4"/>
  <c r="R35" i="4"/>
  <c r="F35" i="4"/>
  <c r="T35" i="4"/>
  <c r="V35" i="4"/>
  <c r="D35" i="4"/>
  <c r="I35" i="4"/>
  <c r="H35" i="4" a="1"/>
  <c r="H35" i="4"/>
  <c r="E35" i="4"/>
  <c r="C35" i="4"/>
  <c r="W35" i="4"/>
  <c r="P35" i="4"/>
  <c r="J35" i="4"/>
  <c r="W36" i="4"/>
  <c r="S36" i="4"/>
  <c r="H36" i="4" a="1"/>
  <c r="H36" i="4"/>
  <c r="F36" i="4"/>
  <c r="V36" i="4"/>
  <c r="G36" i="4"/>
  <c r="P36" i="4"/>
  <c r="I36" i="4"/>
  <c r="C36" i="4"/>
  <c r="D36" i="4"/>
  <c r="Q36" i="4"/>
  <c r="J36" i="4"/>
  <c r="U36" i="4" a="1"/>
  <c r="U36" i="4"/>
  <c r="T36" i="4"/>
  <c r="E36" i="4"/>
  <c r="R36" i="4"/>
  <c r="S35" i="10"/>
  <c r="H35" i="10" a="1"/>
  <c r="H35" i="10"/>
  <c r="Q35" i="10"/>
  <c r="F35" i="10"/>
  <c r="P35" i="10"/>
  <c r="C35" i="10"/>
  <c r="V35" i="10"/>
  <c r="I35" i="10"/>
  <c r="T35" i="10"/>
  <c r="R35" i="10"/>
  <c r="J35" i="10"/>
  <c r="G35" i="10"/>
  <c r="E35" i="10"/>
  <c r="W35" i="10"/>
  <c r="D35" i="10"/>
  <c r="U35" i="10" a="1"/>
  <c r="U35" i="10"/>
  <c r="R37" i="4"/>
  <c r="Q37" i="4"/>
  <c r="S37" i="4"/>
  <c r="P37" i="4"/>
  <c r="U37" i="4" a="1"/>
  <c r="U37" i="4"/>
  <c r="D37" i="4"/>
  <c r="I37" i="4"/>
  <c r="V37" i="4"/>
  <c r="F37" i="4"/>
  <c r="E37" i="4"/>
  <c r="W37" i="4"/>
  <c r="T37" i="4"/>
  <c r="G37" i="4"/>
  <c r="J37" i="4"/>
  <c r="C37" i="4"/>
  <c r="H37" i="4" a="1"/>
  <c r="H37" i="4"/>
  <c r="J36" i="10"/>
  <c r="C36" i="10"/>
  <c r="T36" i="10"/>
  <c r="Q36" i="10"/>
  <c r="D36" i="10"/>
  <c r="W36" i="10"/>
  <c r="I36" i="10"/>
  <c r="V36" i="10"/>
  <c r="H36" i="10" a="1"/>
  <c r="H36" i="10"/>
  <c r="P36" i="10"/>
  <c r="G36" i="10"/>
  <c r="F36" i="10"/>
  <c r="E36" i="10"/>
  <c r="U36" i="10" a="1"/>
  <c r="U36" i="10"/>
  <c r="S36" i="10"/>
  <c r="R36" i="10"/>
  <c r="G38" i="4"/>
  <c r="W38" i="4"/>
  <c r="P38" i="4"/>
  <c r="C38" i="4"/>
  <c r="E38" i="4"/>
  <c r="U38" i="4" a="1"/>
  <c r="U38" i="4"/>
  <c r="R38" i="4"/>
  <c r="I38" i="4"/>
  <c r="F38" i="4"/>
  <c r="D38" i="4"/>
  <c r="S38" i="4"/>
  <c r="T38" i="4"/>
  <c r="Q38" i="4"/>
  <c r="H38" i="4" a="1"/>
  <c r="H38" i="4"/>
  <c r="J38" i="4"/>
  <c r="V38" i="4"/>
  <c r="Q37" i="10"/>
  <c r="F37" i="10"/>
  <c r="V37" i="10"/>
  <c r="D37" i="10"/>
  <c r="U37" i="10" a="1"/>
  <c r="U37" i="10"/>
  <c r="T37" i="10"/>
  <c r="R37" i="10"/>
  <c r="C37" i="10"/>
  <c r="I37" i="10"/>
  <c r="H37" i="10" a="1"/>
  <c r="H37" i="10"/>
  <c r="G37" i="10"/>
  <c r="E37" i="10"/>
  <c r="W37" i="10"/>
  <c r="S37" i="10"/>
  <c r="P37" i="10"/>
  <c r="J37" i="10"/>
  <c r="R39" i="4"/>
  <c r="C39" i="4"/>
  <c r="U39" i="4" a="1"/>
  <c r="U39" i="4"/>
  <c r="D39" i="4"/>
  <c r="F39" i="4"/>
  <c r="V39" i="4"/>
  <c r="E39" i="4"/>
  <c r="I39" i="4"/>
  <c r="H39" i="4" a="1"/>
  <c r="H39" i="4"/>
  <c r="J39" i="4"/>
  <c r="S39" i="4"/>
  <c r="P39" i="4"/>
  <c r="W39" i="4"/>
  <c r="T39" i="4"/>
  <c r="G39" i="4"/>
  <c r="Q39" i="4"/>
  <c r="T38" i="10"/>
  <c r="R38" i="10"/>
  <c r="G38" i="10"/>
  <c r="W38" i="10"/>
  <c r="P38" i="10"/>
  <c r="E38" i="10"/>
  <c r="V38" i="10"/>
  <c r="D38" i="10"/>
  <c r="I38" i="10"/>
  <c r="C38" i="10"/>
  <c r="U38" i="10" a="1"/>
  <c r="U38" i="10"/>
  <c r="J38" i="10"/>
  <c r="H38" i="10" a="1"/>
  <c r="H38" i="10"/>
  <c r="F38" i="10"/>
  <c r="S38" i="10"/>
  <c r="Q38" i="10"/>
  <c r="H40" i="4" a="1"/>
  <c r="H40" i="4"/>
  <c r="S41" i="4"/>
  <c r="R40" i="4"/>
  <c r="V40" i="4"/>
  <c r="E40" i="4"/>
  <c r="C40" i="4"/>
  <c r="W40" i="4"/>
  <c r="G40" i="4"/>
  <c r="P40" i="4"/>
  <c r="J40" i="4"/>
  <c r="U40" i="4" a="1"/>
  <c r="U40" i="4"/>
  <c r="F40" i="4"/>
  <c r="T40" i="4"/>
  <c r="I40" i="4"/>
  <c r="D40" i="4"/>
  <c r="S40" i="4"/>
  <c r="Q40" i="4"/>
  <c r="V39" i="10"/>
  <c r="D39" i="10"/>
  <c r="U39" i="10" a="1"/>
  <c r="U39" i="10"/>
  <c r="I39" i="10"/>
  <c r="S39" i="10"/>
  <c r="H39" i="10" a="1"/>
  <c r="H39" i="10"/>
  <c r="R39" i="10"/>
  <c r="G39" i="10"/>
  <c r="W39" i="10"/>
  <c r="E39" i="10"/>
  <c r="Q39" i="10"/>
  <c r="P39" i="10"/>
  <c r="T39" i="10"/>
  <c r="J39" i="10"/>
  <c r="F39" i="10"/>
  <c r="C39" i="10"/>
  <c r="P41" i="4"/>
  <c r="R42" i="4"/>
  <c r="G41" i="4"/>
  <c r="J41" i="4"/>
  <c r="R41" i="4"/>
  <c r="U41" i="4" a="1"/>
  <c r="U41" i="4"/>
  <c r="T41" i="4"/>
  <c r="H41" i="4" a="1"/>
  <c r="H41" i="4"/>
  <c r="D41" i="4"/>
  <c r="C41" i="4"/>
  <c r="Q41" i="4"/>
  <c r="V41" i="4"/>
  <c r="I41" i="4"/>
  <c r="E41" i="4"/>
  <c r="F41" i="4"/>
  <c r="W41" i="4"/>
  <c r="Q40" i="10"/>
  <c r="W40" i="10"/>
  <c r="P40" i="10"/>
  <c r="E40" i="10"/>
  <c r="U40" i="10" a="1"/>
  <c r="U40" i="10"/>
  <c r="H40" i="10" a="1"/>
  <c r="H40" i="10"/>
  <c r="S40" i="10"/>
  <c r="F40" i="10"/>
  <c r="C40" i="10"/>
  <c r="J40" i="10"/>
  <c r="I40" i="10"/>
  <c r="V40" i="10"/>
  <c r="T40" i="10"/>
  <c r="R40" i="10"/>
  <c r="G40" i="10"/>
  <c r="D40" i="10"/>
  <c r="D42" i="4"/>
  <c r="F42" i="4"/>
  <c r="U42" i="4" a="1"/>
  <c r="U42" i="4"/>
  <c r="E42" i="4"/>
  <c r="V42" i="4"/>
  <c r="C42" i="4"/>
  <c r="Q42" i="4"/>
  <c r="T42" i="4"/>
  <c r="S42" i="4"/>
  <c r="P42" i="4"/>
  <c r="H42" i="4" a="1"/>
  <c r="H42" i="4"/>
  <c r="G42" i="4"/>
  <c r="I42" i="4"/>
  <c r="W42" i="4"/>
  <c r="J42" i="4"/>
  <c r="T41" i="10"/>
  <c r="S41" i="10"/>
  <c r="H41" i="10" a="1"/>
  <c r="H41" i="10"/>
  <c r="G41" i="10"/>
  <c r="R41" i="10"/>
  <c r="E41" i="10"/>
  <c r="P41" i="10"/>
  <c r="C41" i="10"/>
  <c r="V41" i="10"/>
  <c r="J41" i="10"/>
  <c r="I41" i="10"/>
  <c r="D41" i="10"/>
  <c r="W41" i="10"/>
  <c r="U41" i="10" a="1"/>
  <c r="U41" i="10"/>
  <c r="Q41" i="10"/>
  <c r="F41" i="10"/>
  <c r="D43" i="4"/>
  <c r="P43" i="4"/>
  <c r="I43" i="4"/>
  <c r="Q43" i="4"/>
  <c r="H43" i="4" a="1"/>
  <c r="H43" i="4"/>
  <c r="V43" i="4"/>
  <c r="C43" i="4"/>
  <c r="U43" i="4" a="1"/>
  <c r="U43" i="4"/>
  <c r="G43" i="4"/>
  <c r="S43" i="4"/>
  <c r="F43" i="4"/>
  <c r="E43" i="4"/>
  <c r="W43" i="4"/>
  <c r="R43" i="4"/>
  <c r="T43" i="4"/>
  <c r="J43" i="4"/>
  <c r="R42" i="10"/>
  <c r="V42" i="10"/>
  <c r="D42" i="10"/>
  <c r="J42" i="10"/>
  <c r="C42" i="10"/>
  <c r="W42" i="10"/>
  <c r="H42" i="10" a="1"/>
  <c r="H42" i="10"/>
  <c r="T42" i="10"/>
  <c r="F42" i="10"/>
  <c r="Q42" i="10"/>
  <c r="P42" i="10"/>
  <c r="I42" i="10"/>
  <c r="U42" i="10" a="1"/>
  <c r="U42" i="10"/>
  <c r="S42" i="10"/>
  <c r="G42" i="10"/>
  <c r="E42" i="10"/>
  <c r="J44" i="4"/>
  <c r="V44" i="4"/>
  <c r="H44" i="4" a="1"/>
  <c r="H44" i="4"/>
  <c r="C44" i="4"/>
  <c r="R44" i="4"/>
  <c r="P44" i="4"/>
  <c r="D44" i="4"/>
  <c r="F44" i="4"/>
  <c r="I44" i="4"/>
  <c r="T44" i="4"/>
  <c r="E44" i="4"/>
  <c r="W44" i="4"/>
  <c r="Q44" i="4"/>
  <c r="S44" i="4"/>
  <c r="U44" i="4" a="1"/>
  <c r="U44" i="4"/>
  <c r="G44" i="4"/>
  <c r="U43" i="10" a="1"/>
  <c r="U43" i="10"/>
  <c r="I43" i="10"/>
  <c r="R43" i="10"/>
  <c r="G43" i="10"/>
  <c r="Q43" i="10"/>
  <c r="F43" i="10"/>
  <c r="W43" i="10"/>
  <c r="E43" i="10"/>
  <c r="T43" i="10"/>
  <c r="D43" i="10"/>
  <c r="S43" i="10"/>
  <c r="P43" i="10"/>
  <c r="V43" i="10"/>
  <c r="J43" i="10"/>
  <c r="H43" i="10" a="1"/>
  <c r="H43" i="10"/>
  <c r="C43" i="10"/>
  <c r="W45" i="4"/>
  <c r="R45" i="4"/>
  <c r="V45" i="4"/>
  <c r="Q45" i="4"/>
  <c r="F45" i="4"/>
  <c r="U45" i="4" a="1"/>
  <c r="U45" i="4"/>
  <c r="G45" i="4"/>
  <c r="D45" i="4"/>
  <c r="H45" i="4" a="1"/>
  <c r="H45" i="4"/>
  <c r="J45" i="4"/>
  <c r="T45" i="4"/>
  <c r="E45" i="4"/>
  <c r="I45" i="4"/>
  <c r="P45" i="4"/>
  <c r="S45" i="4"/>
  <c r="C45" i="4"/>
  <c r="W44" i="10"/>
  <c r="P44" i="10"/>
  <c r="E44" i="10"/>
  <c r="U44" i="10" a="1"/>
  <c r="U44" i="10"/>
  <c r="I44" i="10"/>
  <c r="T44" i="10"/>
  <c r="S44" i="10"/>
  <c r="D44" i="10"/>
  <c r="Q44" i="10"/>
  <c r="J44" i="10"/>
  <c r="H44" i="10" a="1"/>
  <c r="H44" i="10"/>
  <c r="V44" i="10"/>
  <c r="G44" i="10"/>
  <c r="F44" i="10"/>
  <c r="R44" i="10"/>
  <c r="C44" i="10"/>
  <c r="V46" i="4"/>
  <c r="E46" i="4"/>
  <c r="J46" i="4"/>
  <c r="H46" i="4" a="1"/>
  <c r="H46" i="4"/>
  <c r="Q46" i="4"/>
  <c r="F46" i="4"/>
  <c r="T46" i="4"/>
  <c r="D46" i="4"/>
  <c r="S46" i="4"/>
  <c r="P46" i="4"/>
  <c r="R46" i="4"/>
  <c r="C46" i="4"/>
  <c r="U46" i="4" a="1"/>
  <c r="U46" i="4"/>
  <c r="W46" i="4"/>
  <c r="I46" i="4"/>
  <c r="G46" i="4"/>
  <c r="S45" i="10"/>
  <c r="H45" i="10" a="1"/>
  <c r="H45" i="10"/>
  <c r="W45" i="10"/>
  <c r="P45" i="10"/>
  <c r="E45" i="10"/>
  <c r="V45" i="10"/>
  <c r="D45" i="10"/>
  <c r="U45" i="10" a="1"/>
  <c r="U45" i="10"/>
  <c r="F45" i="10"/>
  <c r="R45" i="10"/>
  <c r="Q45" i="10"/>
  <c r="J45" i="10"/>
  <c r="G45" i="10"/>
  <c r="C45" i="10"/>
  <c r="T45" i="10"/>
  <c r="I45" i="10"/>
  <c r="V47" i="4"/>
  <c r="H47" i="4" a="1"/>
  <c r="H47" i="4"/>
  <c r="T47" i="4"/>
  <c r="Q47" i="4"/>
  <c r="S47" i="4"/>
  <c r="U47" i="4" a="1"/>
  <c r="U47" i="4"/>
  <c r="W47" i="4"/>
  <c r="D47" i="4"/>
  <c r="P47" i="4"/>
  <c r="J47" i="4"/>
  <c r="E47" i="4"/>
  <c r="G47" i="4"/>
  <c r="R47" i="4"/>
  <c r="C47" i="4"/>
  <c r="I47" i="4"/>
  <c r="F47" i="4"/>
  <c r="J46" i="10"/>
  <c r="C46" i="10"/>
  <c r="S46" i="10"/>
  <c r="H46" i="10" a="1"/>
  <c r="H46" i="10"/>
  <c r="R46" i="10"/>
  <c r="G46" i="10"/>
  <c r="P46" i="10"/>
  <c r="I46" i="10"/>
  <c r="V46" i="10"/>
  <c r="F46" i="10"/>
  <c r="U46" i="10" a="1"/>
  <c r="U46" i="10"/>
  <c r="E46" i="10"/>
  <c r="T46" i="10"/>
  <c r="D46" i="10"/>
  <c r="W46" i="10"/>
  <c r="Q46" i="10"/>
  <c r="V48" i="4"/>
  <c r="C48" i="4"/>
  <c r="W48" i="4"/>
  <c r="J48" i="4"/>
  <c r="R48" i="4"/>
  <c r="G48" i="4"/>
  <c r="D48" i="4"/>
  <c r="F48" i="4"/>
  <c r="E48" i="4"/>
  <c r="I48" i="4"/>
  <c r="H48" i="4" a="1"/>
  <c r="H48" i="4"/>
  <c r="U48" i="4" a="1"/>
  <c r="U48" i="4"/>
  <c r="S48" i="4"/>
  <c r="T48" i="4"/>
  <c r="Q48" i="4"/>
  <c r="P48" i="4"/>
  <c r="Q47" i="10"/>
  <c r="F47" i="10"/>
  <c r="J47" i="10"/>
  <c r="C47" i="10"/>
  <c r="U47" i="10" a="1"/>
  <c r="U47" i="10"/>
  <c r="I47" i="10"/>
  <c r="T47" i="10"/>
  <c r="E47" i="10"/>
  <c r="R47" i="10"/>
  <c r="W47" i="10"/>
  <c r="H47" i="10" a="1"/>
  <c r="H47" i="10"/>
  <c r="P47" i="10"/>
  <c r="S47" i="10"/>
  <c r="G47" i="10"/>
  <c r="D47" i="10"/>
  <c r="V47" i="10"/>
  <c r="F49" i="4"/>
  <c r="J49" i="4"/>
  <c r="C49" i="4"/>
  <c r="W49" i="4"/>
  <c r="V49" i="4"/>
  <c r="R49" i="4"/>
  <c r="E49" i="4"/>
  <c r="P49" i="4"/>
  <c r="D49" i="4"/>
  <c r="G49" i="4"/>
  <c r="S49" i="4"/>
  <c r="T49" i="4"/>
  <c r="I49" i="4"/>
  <c r="Q49" i="4"/>
  <c r="H49" i="4" a="1"/>
  <c r="H49" i="4"/>
  <c r="U49" i="4" a="1"/>
  <c r="U49" i="4"/>
  <c r="T48" i="10"/>
  <c r="Q48" i="10"/>
  <c r="F48" i="10"/>
  <c r="W48" i="10"/>
  <c r="P48" i="10"/>
  <c r="E48" i="10"/>
  <c r="I48" i="10"/>
  <c r="G48" i="10"/>
  <c r="S48" i="10"/>
  <c r="C48" i="10"/>
  <c r="R48" i="10"/>
  <c r="J48" i="10"/>
  <c r="H48" i="10" a="1"/>
  <c r="H48" i="10"/>
  <c r="V48" i="10"/>
  <c r="U48" i="10" a="1"/>
  <c r="U48" i="10"/>
  <c r="D48" i="10"/>
  <c r="D50" i="4"/>
  <c r="U50" i="4" a="1"/>
  <c r="U50" i="4"/>
  <c r="G50" i="4"/>
  <c r="S50" i="4"/>
  <c r="F50" i="4"/>
  <c r="P50" i="4"/>
  <c r="J50" i="4"/>
  <c r="T50" i="4"/>
  <c r="V50" i="4"/>
  <c r="Q50" i="4"/>
  <c r="E50" i="4"/>
  <c r="I50" i="4"/>
  <c r="R50" i="4"/>
  <c r="C50" i="4"/>
  <c r="H50" i="4" a="1"/>
  <c r="H50" i="4"/>
  <c r="W50" i="4"/>
  <c r="V49" i="10"/>
  <c r="D49" i="10"/>
  <c r="T49" i="10"/>
  <c r="S49" i="10"/>
  <c r="H49" i="10" a="1"/>
  <c r="H49" i="10"/>
  <c r="Q49" i="10"/>
  <c r="J49" i="10"/>
  <c r="W49" i="10"/>
  <c r="G49" i="10"/>
  <c r="F49" i="10"/>
  <c r="U49" i="10" a="1"/>
  <c r="U49" i="10"/>
  <c r="E49" i="10"/>
  <c r="C49" i="10"/>
  <c r="R49" i="10"/>
  <c r="P49" i="10"/>
  <c r="I49" i="10"/>
  <c r="C51" i="4"/>
  <c r="G51" i="4"/>
  <c r="D51" i="4"/>
  <c r="P51" i="4"/>
  <c r="Q51" i="4"/>
  <c r="V51" i="4"/>
  <c r="I51" i="4"/>
  <c r="R51" i="4"/>
  <c r="J51" i="4"/>
  <c r="T51" i="4"/>
  <c r="F51" i="4"/>
  <c r="H51" i="4" a="1"/>
  <c r="H51" i="4"/>
  <c r="W51" i="4"/>
  <c r="E51" i="4"/>
  <c r="S51" i="4"/>
  <c r="U51" i="4" a="1"/>
  <c r="U51" i="4"/>
  <c r="R50" i="10"/>
  <c r="G50" i="10"/>
  <c r="V50" i="10"/>
  <c r="D50" i="10"/>
  <c r="J50" i="10"/>
  <c r="C50" i="10"/>
  <c r="U50" i="10" a="1"/>
  <c r="U50" i="10"/>
  <c r="F50" i="10"/>
  <c r="S50" i="10"/>
  <c r="P50" i="10"/>
  <c r="I50" i="10"/>
  <c r="T50" i="10"/>
  <c r="E50" i="10"/>
  <c r="H50" i="10" a="1"/>
  <c r="H50" i="10"/>
  <c r="W50" i="10"/>
  <c r="Q50" i="10"/>
  <c r="F52" i="4"/>
  <c r="G52" i="4"/>
  <c r="J52" i="4"/>
  <c r="H52" i="4" a="1"/>
  <c r="H52" i="4"/>
  <c r="W52" i="4"/>
  <c r="P52" i="4"/>
  <c r="C52" i="4"/>
  <c r="D52" i="4"/>
  <c r="I52" i="4"/>
  <c r="U52" i="4" a="1"/>
  <c r="U52" i="4"/>
  <c r="V52" i="4"/>
  <c r="R52" i="4"/>
  <c r="Q52" i="4"/>
  <c r="S52" i="4"/>
  <c r="T52" i="4"/>
  <c r="E52" i="4"/>
  <c r="U51" i="10" a="1"/>
  <c r="U51" i="10"/>
  <c r="I51" i="10"/>
  <c r="R51" i="10"/>
  <c r="G51" i="10"/>
  <c r="Q51" i="10"/>
  <c r="F51" i="10"/>
  <c r="J51" i="10"/>
  <c r="V51" i="10"/>
  <c r="H51" i="10" a="1"/>
  <c r="H51" i="10"/>
  <c r="T51" i="10"/>
  <c r="D51" i="10"/>
  <c r="S51" i="10"/>
  <c r="C51" i="10"/>
  <c r="P51" i="10"/>
  <c r="W51" i="10"/>
  <c r="E51" i="10"/>
  <c r="U53" i="4" a="1"/>
  <c r="U53" i="4"/>
  <c r="T53" i="4"/>
  <c r="C53" i="4"/>
  <c r="S53" i="4"/>
  <c r="V53" i="4"/>
  <c r="W53" i="4"/>
  <c r="H53" i="4" a="1"/>
  <c r="H53" i="4"/>
  <c r="Q53" i="4"/>
  <c r="P53" i="4"/>
  <c r="G53" i="4"/>
  <c r="R53" i="4"/>
  <c r="I53" i="4"/>
  <c r="D53" i="4"/>
  <c r="F53" i="4"/>
  <c r="E53" i="4"/>
  <c r="J53" i="4"/>
  <c r="W52" i="10"/>
  <c r="P52" i="10"/>
  <c r="E52" i="10"/>
  <c r="U52" i="10" a="1"/>
  <c r="U52" i="10"/>
  <c r="I52" i="10"/>
  <c r="T52" i="10"/>
  <c r="R52" i="10"/>
  <c r="C52" i="10"/>
  <c r="H52" i="10" a="1"/>
  <c r="H52" i="10"/>
  <c r="V52" i="10"/>
  <c r="G52" i="10"/>
  <c r="F52" i="10"/>
  <c r="J52" i="10"/>
  <c r="S52" i="10"/>
  <c r="Q52" i="10"/>
  <c r="D52" i="10"/>
  <c r="D54" i="4"/>
  <c r="T54" i="4"/>
  <c r="S54" i="4"/>
  <c r="E54" i="4"/>
  <c r="R54" i="4"/>
  <c r="W54" i="4"/>
  <c r="Q54" i="4"/>
  <c r="C54" i="4"/>
  <c r="P54" i="4"/>
  <c r="U54" i="4" a="1"/>
  <c r="U54" i="4"/>
  <c r="I54" i="4"/>
  <c r="H54" i="4" a="1"/>
  <c r="H54" i="4"/>
  <c r="F54" i="4"/>
  <c r="G54" i="4"/>
  <c r="V54" i="4"/>
  <c r="J54" i="4"/>
  <c r="S53" i="10"/>
  <c r="H53" i="10" a="1"/>
  <c r="H53" i="10"/>
  <c r="W53" i="10"/>
  <c r="P53" i="10"/>
  <c r="E53" i="10"/>
  <c r="V53" i="10"/>
  <c r="D53" i="10"/>
  <c r="G53" i="10"/>
  <c r="T53" i="10"/>
  <c r="C53" i="10"/>
  <c r="Q53" i="10"/>
  <c r="J53" i="10"/>
  <c r="I53" i="10"/>
  <c r="F53" i="10"/>
  <c r="U53" i="10" a="1"/>
  <c r="U53" i="10"/>
  <c r="R53" i="10"/>
  <c r="G55" i="4"/>
  <c r="U55" i="4" a="1"/>
  <c r="U55" i="4"/>
  <c r="J55" i="4"/>
  <c r="H55" i="4" a="1"/>
  <c r="H55" i="4"/>
  <c r="P55" i="4"/>
  <c r="Q55" i="4"/>
  <c r="V55" i="4"/>
  <c r="S55" i="4"/>
  <c r="W55" i="4"/>
  <c r="F55" i="4"/>
  <c r="D55" i="4"/>
  <c r="T55" i="4"/>
  <c r="E55" i="4"/>
  <c r="I55" i="4"/>
  <c r="C55" i="4"/>
  <c r="R55" i="4"/>
  <c r="J54" i="10"/>
  <c r="C54" i="10"/>
  <c r="S54" i="10"/>
  <c r="H54" i="10" a="1"/>
  <c r="H54" i="10"/>
  <c r="R54" i="10"/>
  <c r="G54" i="10"/>
  <c r="W54" i="10"/>
  <c r="U54" i="10" a="1"/>
  <c r="U54" i="10"/>
  <c r="E54" i="10"/>
  <c r="T54" i="10"/>
  <c r="D54" i="10"/>
  <c r="Q54" i="10"/>
  <c r="V54" i="10"/>
  <c r="P54" i="10"/>
  <c r="I54" i="10"/>
  <c r="F54" i="10"/>
  <c r="C56" i="4"/>
  <c r="U56" i="4" a="1"/>
  <c r="U56" i="4"/>
  <c r="V56" i="4"/>
  <c r="W56" i="4"/>
  <c r="D56" i="4"/>
  <c r="R56" i="4"/>
  <c r="P56" i="4"/>
  <c r="Q56" i="4"/>
  <c r="E56" i="4"/>
  <c r="H56" i="4" a="1"/>
  <c r="H56" i="4"/>
  <c r="F56" i="4"/>
  <c r="I56" i="4"/>
  <c r="G56" i="4"/>
  <c r="J56" i="4"/>
  <c r="S56" i="4"/>
  <c r="T56" i="4"/>
  <c r="Q55" i="10"/>
  <c r="F55" i="10"/>
  <c r="J55" i="10"/>
  <c r="C55" i="10"/>
  <c r="U55" i="10" a="1"/>
  <c r="U55" i="10"/>
  <c r="I55" i="10"/>
  <c r="S55" i="10"/>
  <c r="D55" i="10"/>
  <c r="P55" i="10"/>
  <c r="W55" i="10"/>
  <c r="H55" i="10" a="1"/>
  <c r="H55" i="10"/>
  <c r="V55" i="10"/>
  <c r="G55" i="10"/>
  <c r="R55" i="10"/>
  <c r="E55" i="10"/>
  <c r="T55" i="10"/>
  <c r="T57" i="4"/>
  <c r="Q57" i="4"/>
  <c r="R57" i="4"/>
  <c r="C57" i="4"/>
  <c r="H57" i="4" a="1"/>
  <c r="H57" i="4"/>
  <c r="W57" i="4"/>
  <c r="E57" i="4"/>
  <c r="V57" i="4"/>
  <c r="P57" i="4"/>
  <c r="G57" i="4"/>
  <c r="J57" i="4"/>
  <c r="I57" i="4"/>
  <c r="F57" i="4"/>
  <c r="U57" i="4" a="1"/>
  <c r="U57" i="4"/>
  <c r="D57" i="4"/>
  <c r="S57" i="4"/>
  <c r="T56" i="10"/>
  <c r="Q56" i="10"/>
  <c r="F56" i="10"/>
  <c r="W56" i="10"/>
  <c r="P56" i="10"/>
  <c r="E56" i="10"/>
  <c r="V56" i="10"/>
  <c r="H56" i="10" a="1"/>
  <c r="H56" i="10"/>
  <c r="U56" i="10" a="1"/>
  <c r="U56" i="10"/>
  <c r="D56" i="10"/>
  <c r="R56" i="10"/>
  <c r="J56" i="10"/>
  <c r="S56" i="10"/>
  <c r="I56" i="10"/>
  <c r="G56" i="10"/>
  <c r="C56" i="10"/>
  <c r="I58" i="4"/>
  <c r="F58" i="4"/>
  <c r="U58" i="4" a="1"/>
  <c r="U58" i="4"/>
  <c r="J58" i="4"/>
  <c r="H58" i="4" a="1"/>
  <c r="H58" i="4"/>
  <c r="E58" i="4"/>
  <c r="V58" i="4"/>
  <c r="C58" i="4"/>
  <c r="Q58" i="4"/>
  <c r="T58" i="4"/>
  <c r="R58" i="4"/>
  <c r="P58" i="4"/>
  <c r="D58" i="4"/>
  <c r="S58" i="4"/>
  <c r="G58" i="4"/>
  <c r="W58" i="4"/>
  <c r="V57" i="10"/>
  <c r="D57" i="10"/>
  <c r="T57" i="10"/>
  <c r="S57" i="10"/>
  <c r="H57" i="10" a="1"/>
  <c r="H57" i="10"/>
  <c r="P57" i="10"/>
  <c r="I57" i="10"/>
  <c r="F57" i="10"/>
  <c r="U57" i="10" a="1"/>
  <c r="U57" i="10"/>
  <c r="E57" i="10"/>
  <c r="R57" i="10"/>
  <c r="C57" i="10"/>
  <c r="G57" i="10"/>
  <c r="W57" i="10"/>
  <c r="Q57" i="10"/>
  <c r="J57" i="10"/>
  <c r="U59" i="4" a="1"/>
  <c r="U59" i="4"/>
  <c r="S59" i="4"/>
  <c r="C59" i="4"/>
  <c r="G59" i="4"/>
  <c r="W59" i="4"/>
  <c r="T59" i="4"/>
  <c r="R59" i="4"/>
  <c r="F59" i="4"/>
  <c r="P59" i="4"/>
  <c r="V59" i="4"/>
  <c r="I59" i="4"/>
  <c r="J59" i="4"/>
  <c r="E59" i="4"/>
  <c r="Q59" i="4"/>
  <c r="D59" i="4"/>
  <c r="H59" i="4" a="1"/>
  <c r="H59" i="4"/>
  <c r="T58" i="10"/>
  <c r="S58" i="10"/>
  <c r="R58" i="10"/>
  <c r="G58" i="10"/>
  <c r="D58" i="10"/>
  <c r="W58" i="10"/>
  <c r="J58" i="10"/>
  <c r="C58" i="10"/>
  <c r="E58" i="10"/>
  <c r="Q58" i="10"/>
  <c r="I58" i="10"/>
  <c r="H58" i="10" a="1"/>
  <c r="H58" i="10"/>
  <c r="V58" i="10"/>
  <c r="F58" i="10"/>
  <c r="U58" i="10" a="1"/>
  <c r="U58" i="10"/>
  <c r="P58" i="10"/>
  <c r="U60" i="4" a="1"/>
  <c r="U60" i="4"/>
  <c r="V60" i="4"/>
  <c r="F60" i="4"/>
  <c r="S60" i="4"/>
  <c r="D60" i="4"/>
  <c r="T60" i="4"/>
  <c r="I60" i="4"/>
  <c r="E60" i="4"/>
  <c r="J60" i="4"/>
  <c r="P60" i="4"/>
  <c r="G60" i="4"/>
  <c r="C60" i="4"/>
  <c r="H60" i="4" a="1"/>
  <c r="H60" i="4"/>
  <c r="Q60" i="4"/>
  <c r="W60" i="4"/>
  <c r="R60" i="4"/>
  <c r="V59" i="10"/>
  <c r="D59" i="10"/>
  <c r="J59" i="10"/>
  <c r="C59" i="10"/>
  <c r="S59" i="10"/>
  <c r="F59" i="10"/>
  <c r="P59" i="10"/>
  <c r="I59" i="10"/>
  <c r="R59" i="10"/>
  <c r="G59" i="10"/>
  <c r="W59" i="10"/>
  <c r="E59" i="10"/>
  <c r="U59" i="10" a="1"/>
  <c r="U59" i="10"/>
  <c r="T59" i="10"/>
  <c r="Q59" i="10"/>
  <c r="H59" i="10" a="1"/>
  <c r="H59" i="10"/>
  <c r="J61" i="4"/>
  <c r="V61" i="4"/>
  <c r="G61" i="4"/>
  <c r="I61" i="4"/>
  <c r="W61" i="4"/>
  <c r="S61" i="4"/>
  <c r="F61" i="4"/>
  <c r="Q61" i="4"/>
  <c r="R61" i="4"/>
  <c r="D61" i="4"/>
  <c r="P61" i="4"/>
  <c r="T61" i="4"/>
  <c r="C61" i="4"/>
  <c r="H61" i="4" a="1"/>
  <c r="H61" i="4"/>
  <c r="E61" i="4"/>
  <c r="U61" i="4" a="1"/>
  <c r="U61" i="4"/>
  <c r="U60" i="10" a="1"/>
  <c r="U60" i="10"/>
  <c r="I60" i="10"/>
  <c r="R60" i="10"/>
  <c r="G60" i="10"/>
  <c r="Q60" i="10"/>
  <c r="F60" i="10"/>
  <c r="E60" i="10"/>
  <c r="P60" i="10"/>
  <c r="J60" i="10"/>
  <c r="H60" i="10" a="1"/>
  <c r="H60" i="10"/>
  <c r="W60" i="10"/>
  <c r="C60" i="10"/>
  <c r="V60" i="10"/>
  <c r="T60" i="10"/>
  <c r="D60" i="10"/>
  <c r="S60" i="10"/>
  <c r="P62" i="4"/>
  <c r="T62" i="4"/>
  <c r="W62" i="4"/>
  <c r="G62" i="4"/>
  <c r="H62" i="4" a="1"/>
  <c r="H62" i="4"/>
  <c r="S62" i="4"/>
  <c r="R62" i="4"/>
  <c r="J62" i="4"/>
  <c r="U62" i="4" a="1"/>
  <c r="U62" i="4"/>
  <c r="Q62" i="4"/>
  <c r="C62" i="4"/>
  <c r="V62" i="4"/>
  <c r="D62" i="4"/>
  <c r="F62" i="4"/>
  <c r="I62" i="4"/>
  <c r="E62" i="4"/>
  <c r="W61" i="10"/>
  <c r="P61" i="10"/>
  <c r="E61" i="10"/>
  <c r="U61" i="10" a="1"/>
  <c r="U61" i="10"/>
  <c r="I61" i="10"/>
  <c r="T61" i="10"/>
  <c r="J61" i="10"/>
  <c r="F61" i="10"/>
  <c r="S61" i="10"/>
  <c r="D61" i="10"/>
  <c r="G61" i="10"/>
  <c r="V61" i="10"/>
  <c r="R61" i="10"/>
  <c r="H61" i="10" a="1"/>
  <c r="H61" i="10"/>
  <c r="Q61" i="10"/>
  <c r="C61" i="10"/>
  <c r="V63" i="4"/>
  <c r="E63" i="4"/>
  <c r="C63" i="4"/>
  <c r="J63" i="4"/>
  <c r="F63" i="4"/>
  <c r="R63" i="4"/>
  <c r="D63" i="4"/>
  <c r="G63" i="4"/>
  <c r="Q63" i="4"/>
  <c r="U63" i="4" a="1"/>
  <c r="U63" i="4"/>
  <c r="T63" i="4"/>
  <c r="P63" i="4"/>
  <c r="W63" i="4"/>
  <c r="H63" i="4" a="1"/>
  <c r="H63" i="4"/>
  <c r="I63" i="4"/>
  <c r="S63" i="4"/>
  <c r="S62" i="10"/>
  <c r="H62" i="10" a="1"/>
  <c r="H62" i="10"/>
  <c r="R62" i="10"/>
  <c r="W62" i="10"/>
  <c r="P62" i="10"/>
  <c r="E62" i="10"/>
  <c r="V62" i="10"/>
  <c r="D62" i="10"/>
  <c r="T62" i="10"/>
  <c r="I62" i="10"/>
  <c r="J62" i="10"/>
  <c r="F62" i="10"/>
  <c r="U62" i="10" a="1"/>
  <c r="U62" i="10"/>
  <c r="Q62" i="10"/>
  <c r="G62" i="10"/>
  <c r="C62" i="10"/>
  <c r="C64" i="4"/>
  <c r="V64" i="4"/>
  <c r="S64" i="4"/>
  <c r="R64" i="4"/>
  <c r="E64" i="4"/>
  <c r="G64" i="4"/>
  <c r="F64" i="4"/>
  <c r="I64" i="4"/>
  <c r="T64" i="4"/>
  <c r="J64" i="4"/>
  <c r="Q64" i="4"/>
  <c r="W64" i="4"/>
  <c r="H64" i="4" a="1"/>
  <c r="H64" i="4"/>
  <c r="P64" i="4"/>
  <c r="D64" i="4"/>
  <c r="U64" i="4" a="1"/>
  <c r="U64" i="4"/>
  <c r="J63" i="10"/>
  <c r="C63" i="10"/>
  <c r="U63" i="10" a="1"/>
  <c r="U63" i="10"/>
  <c r="I63" i="10"/>
  <c r="S63" i="10"/>
  <c r="H63" i="10" a="1"/>
  <c r="H63" i="10"/>
  <c r="R63" i="10"/>
  <c r="G63" i="10"/>
  <c r="W63" i="10"/>
  <c r="E63" i="10"/>
  <c r="V63" i="10"/>
  <c r="D63" i="10"/>
  <c r="Q63" i="10"/>
  <c r="F63" i="10"/>
  <c r="T63" i="10"/>
  <c r="P63" i="10"/>
  <c r="D65" i="4"/>
  <c r="W65" i="4"/>
  <c r="C65" i="4"/>
  <c r="T65" i="4"/>
  <c r="S65" i="4"/>
  <c r="F65" i="4"/>
  <c r="J65" i="4"/>
  <c r="V65" i="4"/>
  <c r="Q65" i="4"/>
  <c r="U65" i="4" a="1"/>
  <c r="U65" i="4"/>
  <c r="P65" i="4"/>
  <c r="H65" i="4" a="1"/>
  <c r="H65" i="4"/>
  <c r="G65" i="4"/>
  <c r="I65" i="4"/>
  <c r="R65" i="4"/>
  <c r="E65" i="4"/>
  <c r="Q64" i="10"/>
  <c r="F64" i="10"/>
  <c r="W64" i="10"/>
  <c r="P64" i="10"/>
  <c r="E64" i="10"/>
  <c r="J64" i="10"/>
  <c r="C64" i="10"/>
  <c r="U64" i="10" a="1"/>
  <c r="U64" i="10"/>
  <c r="I64" i="10"/>
  <c r="G64" i="10"/>
  <c r="S64" i="10"/>
  <c r="R64" i="10"/>
  <c r="V64" i="10"/>
  <c r="H64" i="10" a="1"/>
  <c r="H64" i="10"/>
  <c r="D64" i="10"/>
  <c r="T64" i="10"/>
  <c r="V66" i="4"/>
  <c r="J66" i="4"/>
  <c r="P66" i="4"/>
  <c r="S66" i="4"/>
  <c r="T66" i="4"/>
  <c r="E66" i="4"/>
  <c r="D66" i="4"/>
  <c r="W66" i="4"/>
  <c r="F66" i="4"/>
  <c r="U66" i="4" a="1"/>
  <c r="U66" i="4"/>
  <c r="G66" i="4"/>
  <c r="I66" i="4"/>
  <c r="H66" i="4" a="1"/>
  <c r="H66" i="4"/>
  <c r="R66" i="4"/>
  <c r="Q66" i="4"/>
  <c r="C66" i="4"/>
  <c r="T65" i="10"/>
  <c r="S65" i="10"/>
  <c r="H65" i="10" a="1"/>
  <c r="H65" i="10"/>
  <c r="Q65" i="10"/>
  <c r="F65" i="10"/>
  <c r="W65" i="10"/>
  <c r="P65" i="10"/>
  <c r="E65" i="10"/>
  <c r="U65" i="10" a="1"/>
  <c r="U65" i="10"/>
  <c r="J65" i="10"/>
  <c r="I65" i="10"/>
  <c r="G65" i="10"/>
  <c r="D65" i="10"/>
  <c r="V65" i="10"/>
  <c r="R65" i="10"/>
  <c r="C65" i="10"/>
  <c r="I67" i="4"/>
  <c r="T67" i="4"/>
  <c r="C67" i="4"/>
  <c r="U67" i="4" a="1"/>
  <c r="U67" i="4"/>
  <c r="S67" i="4"/>
  <c r="V67" i="4"/>
  <c r="J67" i="4"/>
  <c r="G67" i="4"/>
  <c r="E67" i="4"/>
  <c r="F67" i="4"/>
  <c r="R67" i="4"/>
  <c r="D67" i="4"/>
  <c r="W67" i="4"/>
  <c r="H67" i="4" a="1"/>
  <c r="H67" i="4"/>
  <c r="Q67" i="4"/>
  <c r="P67" i="4"/>
  <c r="V66" i="10"/>
  <c r="D66" i="10"/>
  <c r="J66" i="10"/>
  <c r="C66" i="10"/>
  <c r="T66" i="10"/>
  <c r="S66" i="10"/>
  <c r="H66" i="10" a="1"/>
  <c r="H66" i="10"/>
  <c r="P66" i="10"/>
  <c r="F66" i="10"/>
  <c r="W66" i="10"/>
  <c r="E66" i="10"/>
  <c r="R66" i="10"/>
  <c r="Q66" i="10"/>
  <c r="I66" i="10"/>
  <c r="G66" i="10"/>
  <c r="U66" i="10" a="1"/>
  <c r="U66" i="10"/>
  <c r="F68" i="4"/>
  <c r="G68" i="4"/>
  <c r="S68" i="4"/>
  <c r="U68" i="4" a="1"/>
  <c r="U68" i="4"/>
  <c r="P68" i="4"/>
  <c r="Q68" i="4"/>
  <c r="E68" i="4"/>
  <c r="T68" i="4"/>
  <c r="R68" i="4"/>
  <c r="J68" i="4"/>
  <c r="V68" i="4"/>
  <c r="W68" i="4"/>
  <c r="H68" i="4" a="1"/>
  <c r="H68" i="4"/>
  <c r="C68" i="4"/>
  <c r="I68" i="4"/>
  <c r="D68" i="4"/>
  <c r="R67" i="10"/>
  <c r="G67" i="10"/>
  <c r="Q67" i="10"/>
  <c r="F67" i="10"/>
  <c r="V67" i="10"/>
  <c r="D67" i="10"/>
  <c r="J67" i="10"/>
  <c r="C67" i="10"/>
  <c r="H67" i="10" a="1"/>
  <c r="H67" i="10"/>
  <c r="T67" i="10"/>
  <c r="S67" i="10"/>
  <c r="W67" i="10"/>
  <c r="U67" i="10" a="1"/>
  <c r="U67" i="10"/>
  <c r="P67" i="10"/>
  <c r="I67" i="10"/>
  <c r="E67" i="10"/>
  <c r="I69" i="4"/>
  <c r="Q69" i="4"/>
  <c r="U69" i="4" a="1"/>
  <c r="U69" i="4"/>
  <c r="F69" i="4"/>
  <c r="E69" i="4"/>
  <c r="V69" i="4"/>
  <c r="D69" i="4"/>
  <c r="W69" i="4"/>
  <c r="J69" i="4"/>
  <c r="H69" i="4" a="1"/>
  <c r="H69" i="4"/>
  <c r="T69" i="4"/>
  <c r="R69" i="4"/>
  <c r="G69" i="4"/>
  <c r="C69" i="4"/>
  <c r="S69" i="4"/>
  <c r="P69" i="4"/>
  <c r="U68" i="10" a="1"/>
  <c r="U68" i="10"/>
  <c r="I68" i="10"/>
  <c r="T68" i="10"/>
  <c r="R68" i="10"/>
  <c r="G68" i="10"/>
  <c r="Q68" i="10"/>
  <c r="F68" i="10"/>
  <c r="C68" i="10"/>
  <c r="J68" i="10"/>
  <c r="P68" i="10"/>
  <c r="E68" i="10"/>
  <c r="W68" i="10"/>
  <c r="V68" i="10"/>
  <c r="S68" i="10"/>
  <c r="H68" i="10" a="1"/>
  <c r="H68" i="10"/>
  <c r="D68" i="10"/>
  <c r="Q70" i="4"/>
  <c r="T70" i="4"/>
  <c r="P70" i="4"/>
  <c r="V70" i="4"/>
  <c r="D70" i="4"/>
  <c r="H70" i="4" a="1"/>
  <c r="H70" i="4"/>
  <c r="I70" i="4"/>
  <c r="G70" i="4"/>
  <c r="C70" i="4"/>
  <c r="U70" i="4" a="1"/>
  <c r="U70" i="4"/>
  <c r="J70" i="4"/>
  <c r="R70" i="4"/>
  <c r="E70" i="4"/>
  <c r="F70" i="4"/>
  <c r="S70" i="4"/>
  <c r="W70" i="4"/>
  <c r="W69" i="10"/>
  <c r="P69" i="10"/>
  <c r="E69" i="10"/>
  <c r="V69" i="10"/>
  <c r="D69" i="10"/>
  <c r="U69" i="10" a="1"/>
  <c r="U69" i="10"/>
  <c r="I69" i="10"/>
  <c r="T69" i="10"/>
  <c r="Q69" i="10"/>
  <c r="G69" i="10"/>
  <c r="F69" i="10"/>
  <c r="S69" i="10"/>
  <c r="J69" i="10"/>
  <c r="C69" i="10"/>
  <c r="R69" i="10"/>
  <c r="H69" i="10" a="1"/>
  <c r="H69" i="10"/>
  <c r="V71" i="4"/>
  <c r="E71" i="4"/>
  <c r="G71" i="4"/>
  <c r="C71" i="4"/>
  <c r="P71" i="4"/>
  <c r="Q71" i="4"/>
  <c r="T71" i="4"/>
  <c r="H71" i="4" a="1"/>
  <c r="H71" i="4"/>
  <c r="F71" i="4"/>
  <c r="I71" i="4"/>
  <c r="S71" i="4"/>
  <c r="D71" i="4"/>
  <c r="R71" i="4"/>
  <c r="J71" i="4"/>
  <c r="W71" i="4"/>
  <c r="U71" i="4" a="1"/>
  <c r="U71" i="4"/>
  <c r="S70" i="10"/>
  <c r="H70" i="10" a="1"/>
  <c r="H70" i="10"/>
  <c r="R70" i="10"/>
  <c r="G70" i="10"/>
  <c r="W70" i="10"/>
  <c r="P70" i="10"/>
  <c r="E70" i="10"/>
  <c r="V70" i="10"/>
  <c r="D70" i="10"/>
  <c r="U70" i="10" a="1"/>
  <c r="U70" i="10"/>
  <c r="T70" i="10"/>
  <c r="Q70" i="10"/>
  <c r="I70" i="10"/>
  <c r="F70" i="10"/>
  <c r="C70" i="10"/>
  <c r="J70" i="10"/>
  <c r="H72" i="4" a="1"/>
  <c r="H72" i="4"/>
  <c r="F72" i="4"/>
  <c r="J72" i="4"/>
  <c r="V72" i="4"/>
  <c r="I72" i="4"/>
  <c r="D72" i="4"/>
  <c r="T72" i="4"/>
  <c r="S72" i="4"/>
  <c r="R72" i="4"/>
  <c r="U72" i="4" a="1"/>
  <c r="U72" i="4"/>
  <c r="G72" i="4"/>
  <c r="W72" i="4"/>
  <c r="P72" i="4"/>
  <c r="C72" i="4"/>
  <c r="Q72" i="4"/>
  <c r="E72" i="4"/>
  <c r="J71" i="10"/>
  <c r="C71" i="10"/>
  <c r="U71" i="10" a="1"/>
  <c r="U71" i="10"/>
  <c r="I71" i="10"/>
  <c r="S71" i="10"/>
  <c r="H71" i="10" a="1"/>
  <c r="H71" i="10"/>
  <c r="R71" i="10"/>
  <c r="G71" i="10"/>
  <c r="V71" i="10"/>
  <c r="D71" i="10"/>
  <c r="P71" i="10"/>
  <c r="W71" i="10"/>
  <c r="Q71" i="10"/>
  <c r="F71" i="10"/>
  <c r="T71" i="10"/>
  <c r="E71" i="10"/>
  <c r="S73" i="4"/>
  <c r="U73" i="4" a="1"/>
  <c r="U73" i="4"/>
  <c r="V73" i="4"/>
  <c r="E73" i="4"/>
  <c r="R73" i="4"/>
  <c r="G73" i="4"/>
  <c r="W73" i="4"/>
  <c r="I73" i="4"/>
  <c r="J73" i="4"/>
  <c r="C73" i="4"/>
  <c r="Q73" i="4"/>
  <c r="H73" i="4" a="1"/>
  <c r="H73" i="4"/>
  <c r="D73" i="4"/>
  <c r="T73" i="4"/>
  <c r="P73" i="4"/>
  <c r="F73" i="4"/>
  <c r="Q72" i="10"/>
  <c r="F72" i="10"/>
  <c r="W72" i="10"/>
  <c r="P72" i="10"/>
  <c r="E72" i="10"/>
  <c r="J72" i="10"/>
  <c r="C72" i="10"/>
  <c r="U72" i="10" a="1"/>
  <c r="U72" i="10"/>
  <c r="I72" i="10"/>
  <c r="R72" i="10"/>
  <c r="H72" i="10" a="1"/>
  <c r="H72" i="10"/>
  <c r="G72" i="10"/>
  <c r="D72" i="10"/>
  <c r="T72" i="10"/>
  <c r="S72" i="10"/>
  <c r="V72" i="10"/>
  <c r="U74" i="4" a="1"/>
  <c r="U74" i="4"/>
  <c r="J74" i="4"/>
  <c r="Q74" i="4"/>
  <c r="C74" i="4"/>
  <c r="E74" i="4"/>
  <c r="T74" i="4"/>
  <c r="W74" i="4"/>
  <c r="I74" i="4"/>
  <c r="P74" i="4"/>
  <c r="D74" i="4"/>
  <c r="S74" i="4"/>
  <c r="F74" i="4"/>
  <c r="G74" i="4"/>
  <c r="R74" i="4"/>
  <c r="H74" i="4" a="1"/>
  <c r="H74" i="4"/>
  <c r="V74" i="4"/>
  <c r="T73" i="10"/>
  <c r="S73" i="10"/>
  <c r="H73" i="10" a="1"/>
  <c r="H73" i="10"/>
  <c r="Q73" i="10"/>
  <c r="F73" i="10"/>
  <c r="W73" i="10"/>
  <c r="P73" i="10"/>
  <c r="E73" i="10"/>
  <c r="I73" i="10"/>
  <c r="C73" i="10"/>
  <c r="U73" i="10" a="1"/>
  <c r="U73" i="10"/>
  <c r="J73" i="10"/>
  <c r="D73" i="10"/>
  <c r="V73" i="10"/>
  <c r="R73" i="10"/>
  <c r="G73" i="10"/>
  <c r="H75" i="4" a="1"/>
  <c r="H75" i="4"/>
  <c r="V75" i="4"/>
  <c r="U75" i="4" a="1"/>
  <c r="U75" i="4"/>
  <c r="S75" i="4"/>
  <c r="I75" i="4"/>
  <c r="J75" i="4"/>
  <c r="W75" i="4"/>
  <c r="D75" i="4"/>
  <c r="R75" i="4"/>
  <c r="Q75" i="4"/>
  <c r="F75" i="4"/>
  <c r="G75" i="4"/>
  <c r="C75" i="4"/>
  <c r="T75" i="4"/>
  <c r="P75" i="4"/>
  <c r="E75" i="4"/>
  <c r="V74" i="10"/>
  <c r="D74" i="10"/>
  <c r="J74" i="10"/>
  <c r="C74" i="10"/>
  <c r="T74" i="10"/>
  <c r="S74" i="10"/>
  <c r="H74" i="10" a="1"/>
  <c r="H74" i="10"/>
  <c r="W74" i="10"/>
  <c r="E74" i="10"/>
  <c r="Q74" i="10"/>
  <c r="P74" i="10"/>
  <c r="R74" i="10"/>
  <c r="G74" i="10"/>
  <c r="I74" i="10"/>
  <c r="F74" i="10"/>
  <c r="U74" i="10" a="1"/>
  <c r="U74" i="10"/>
  <c r="H76" i="4" a="1"/>
  <c r="H76" i="4"/>
  <c r="G76" i="4"/>
  <c r="E76" i="4"/>
  <c r="I76" i="4"/>
  <c r="U76" i="4" a="1"/>
  <c r="U76" i="4"/>
  <c r="D76" i="4"/>
  <c r="R76" i="4"/>
  <c r="W76" i="4"/>
  <c r="V76" i="4"/>
  <c r="S76" i="4"/>
  <c r="J76" i="4"/>
  <c r="P76" i="4"/>
  <c r="C76" i="4"/>
  <c r="Q76" i="4"/>
  <c r="T76" i="4"/>
  <c r="F76" i="4"/>
  <c r="R75" i="10"/>
  <c r="G75" i="10"/>
  <c r="Q75" i="10"/>
  <c r="F75" i="10"/>
  <c r="V75" i="10"/>
  <c r="D75" i="10"/>
  <c r="J75" i="10"/>
  <c r="C75" i="10"/>
  <c r="S75" i="10"/>
  <c r="H75" i="10" a="1"/>
  <c r="H75" i="10"/>
  <c r="U75" i="10" a="1"/>
  <c r="U75" i="10"/>
  <c r="P75" i="10"/>
  <c r="E75" i="10"/>
  <c r="W75" i="10"/>
  <c r="T75" i="10"/>
  <c r="I75" i="10"/>
  <c r="I77" i="4"/>
  <c r="H77" i="4" a="1"/>
  <c r="H77" i="4"/>
  <c r="D77" i="4"/>
  <c r="G77" i="4"/>
  <c r="E77" i="4"/>
  <c r="Q77" i="4"/>
  <c r="T77" i="4"/>
  <c r="V77" i="4"/>
  <c r="J77" i="4"/>
  <c r="F77" i="4"/>
  <c r="R77" i="4"/>
  <c r="S77" i="4"/>
  <c r="W77" i="4"/>
  <c r="P77" i="4"/>
  <c r="U77" i="4" a="1"/>
  <c r="U77" i="4"/>
  <c r="C77" i="4"/>
  <c r="U76" i="10" a="1"/>
  <c r="U76" i="10"/>
  <c r="I76" i="10"/>
  <c r="T76" i="10"/>
  <c r="R76" i="10"/>
  <c r="G76" i="10"/>
  <c r="Q76" i="10"/>
  <c r="F76" i="10"/>
  <c r="J76" i="10"/>
  <c r="V76" i="10"/>
  <c r="D76" i="10"/>
  <c r="C76" i="10"/>
  <c r="S76" i="10"/>
  <c r="H76" i="10" a="1"/>
  <c r="H76" i="10"/>
  <c r="E76" i="10"/>
  <c r="W76" i="10"/>
  <c r="P76" i="10"/>
  <c r="Q78" i="4"/>
  <c r="I78" i="4"/>
  <c r="E78" i="4"/>
  <c r="J78" i="4"/>
  <c r="V78" i="4"/>
  <c r="W78" i="4"/>
  <c r="U78" i="4" a="1"/>
  <c r="U78" i="4"/>
  <c r="S78" i="4"/>
  <c r="T78" i="4"/>
  <c r="H78" i="4" a="1"/>
  <c r="H78" i="4"/>
  <c r="F78" i="4"/>
  <c r="R78" i="4"/>
  <c r="P78" i="4"/>
  <c r="G78" i="4"/>
  <c r="D78" i="4"/>
  <c r="C78" i="4"/>
  <c r="W77" i="10"/>
  <c r="P77" i="10"/>
  <c r="E77" i="10"/>
  <c r="V77" i="10"/>
  <c r="D77" i="10"/>
  <c r="U77" i="10" a="1"/>
  <c r="U77" i="10"/>
  <c r="I77" i="10"/>
  <c r="T77" i="10"/>
  <c r="F77" i="10"/>
  <c r="R77" i="10"/>
  <c r="Q77" i="10"/>
  <c r="C77" i="10"/>
  <c r="S77" i="10"/>
  <c r="J77" i="10"/>
  <c r="H77" i="10" a="1"/>
  <c r="H77" i="10"/>
  <c r="G77" i="10"/>
  <c r="D79" i="4"/>
  <c r="T79" i="4"/>
  <c r="C79" i="4"/>
  <c r="W79" i="4"/>
  <c r="H79" i="4" a="1"/>
  <c r="H79" i="4"/>
  <c r="S79" i="4"/>
  <c r="J79" i="4"/>
  <c r="F79" i="4"/>
  <c r="I79" i="4"/>
  <c r="E79" i="4"/>
  <c r="U79" i="4" a="1"/>
  <c r="U79" i="4"/>
  <c r="P79" i="4"/>
  <c r="V79" i="4"/>
  <c r="Q79" i="4"/>
  <c r="R79" i="4"/>
  <c r="G79" i="4"/>
  <c r="S78" i="10"/>
  <c r="H78" i="10" a="1"/>
  <c r="H78" i="10"/>
  <c r="R78" i="10"/>
  <c r="G78" i="10"/>
  <c r="W78" i="10"/>
  <c r="P78" i="10"/>
  <c r="E78" i="10"/>
  <c r="V78" i="10"/>
  <c r="D78" i="10"/>
  <c r="T78" i="10"/>
  <c r="I78" i="10"/>
  <c r="F78" i="10"/>
  <c r="U78" i="10" a="1"/>
  <c r="U78" i="10"/>
  <c r="Q78" i="10"/>
  <c r="J78" i="10"/>
  <c r="C78" i="10"/>
  <c r="R80" i="4"/>
  <c r="D80" i="4"/>
  <c r="E80" i="4"/>
  <c r="S80" i="4"/>
  <c r="J80" i="4"/>
  <c r="V80" i="4"/>
  <c r="U80" i="4" a="1"/>
  <c r="U80" i="4"/>
  <c r="H80" i="4" a="1"/>
  <c r="H80" i="4"/>
  <c r="I80" i="4"/>
  <c r="G80" i="4"/>
  <c r="T80" i="4"/>
  <c r="F80" i="4"/>
  <c r="W80" i="4"/>
  <c r="C80" i="4"/>
  <c r="Q80" i="4"/>
  <c r="P80" i="4"/>
  <c r="J79" i="10"/>
  <c r="C79" i="10"/>
  <c r="U79" i="10" a="1"/>
  <c r="U79" i="10"/>
  <c r="I79" i="10"/>
  <c r="S79" i="10"/>
  <c r="H79" i="10" a="1"/>
  <c r="H79" i="10"/>
  <c r="R79" i="10"/>
  <c r="G79" i="10"/>
  <c r="W79" i="10"/>
  <c r="E79" i="10"/>
  <c r="V79" i="10"/>
  <c r="D79" i="10"/>
  <c r="P79" i="10"/>
  <c r="F79" i="10"/>
  <c r="T79" i="10"/>
  <c r="Q79" i="10"/>
  <c r="U81" i="4" a="1"/>
  <c r="U81" i="4"/>
  <c r="D81" i="4"/>
  <c r="E81" i="4"/>
  <c r="S81" i="4"/>
  <c r="J81" i="4"/>
  <c r="I81" i="4"/>
  <c r="G81" i="4"/>
  <c r="W81" i="4"/>
  <c r="F81" i="4"/>
  <c r="P81" i="4"/>
  <c r="T81" i="4"/>
  <c r="V81" i="4"/>
  <c r="Q81" i="4"/>
  <c r="H81" i="4" a="1"/>
  <c r="H81" i="4"/>
  <c r="C81" i="4"/>
  <c r="R81" i="4"/>
  <c r="Q80" i="10"/>
  <c r="F80" i="10"/>
  <c r="W80" i="10"/>
  <c r="P80" i="10"/>
  <c r="E80" i="10"/>
  <c r="V80" i="10"/>
  <c r="J80" i="10"/>
  <c r="C80" i="10"/>
  <c r="U80" i="10" a="1"/>
  <c r="U80" i="10"/>
  <c r="I80" i="10"/>
  <c r="G80" i="10"/>
  <c r="T80" i="10"/>
  <c r="S80" i="10"/>
  <c r="R80" i="10"/>
  <c r="H80" i="10" a="1"/>
  <c r="H80" i="10"/>
  <c r="D80" i="10"/>
  <c r="C82" i="4"/>
  <c r="Q82" i="4"/>
  <c r="T82" i="4"/>
  <c r="W82" i="4"/>
  <c r="S82" i="4"/>
  <c r="H82" i="4" a="1"/>
  <c r="H82" i="4"/>
  <c r="R82" i="4"/>
  <c r="P82" i="4"/>
  <c r="U82" i="4" a="1"/>
  <c r="U82" i="4"/>
  <c r="J82" i="4"/>
  <c r="E82" i="4"/>
  <c r="V82" i="4"/>
  <c r="D82" i="4"/>
  <c r="F82" i="4"/>
  <c r="G82" i="4"/>
  <c r="I82" i="4"/>
  <c r="U81" i="10" a="1"/>
  <c r="U81" i="10"/>
  <c r="I81" i="10"/>
  <c r="T81" i="10"/>
  <c r="S81" i="10"/>
  <c r="H81" i="10" a="1"/>
  <c r="H81" i="10"/>
  <c r="R81" i="10"/>
  <c r="G81" i="10"/>
  <c r="Q81" i="10"/>
  <c r="F81" i="10"/>
  <c r="W81" i="10"/>
  <c r="P81" i="10"/>
  <c r="E81" i="10"/>
  <c r="J81" i="10"/>
  <c r="C81" i="10"/>
  <c r="V81" i="10"/>
  <c r="D81" i="10"/>
  <c r="F83" i="4"/>
  <c r="G83" i="4"/>
  <c r="P83" i="4"/>
  <c r="U83" i="4" a="1"/>
  <c r="U83" i="4"/>
  <c r="C83" i="4"/>
  <c r="I83" i="4"/>
  <c r="J83" i="4"/>
  <c r="H83" i="4" a="1"/>
  <c r="H83" i="4"/>
  <c r="D83" i="4"/>
  <c r="W83" i="4"/>
  <c r="T83" i="4"/>
  <c r="R83" i="4"/>
  <c r="E83" i="4"/>
  <c r="S83" i="4"/>
  <c r="Q83" i="4"/>
  <c r="V83" i="4"/>
  <c r="W82" i="10"/>
  <c r="P82" i="10"/>
  <c r="E82" i="10"/>
  <c r="V82" i="10"/>
  <c r="D82" i="10"/>
  <c r="J82" i="10"/>
  <c r="C82" i="10"/>
  <c r="U82" i="10" a="1"/>
  <c r="U82" i="10"/>
  <c r="I82" i="10"/>
  <c r="T82" i="10"/>
  <c r="S82" i="10"/>
  <c r="H82" i="10" a="1"/>
  <c r="H82" i="10"/>
  <c r="G82" i="10"/>
  <c r="F82" i="10"/>
  <c r="R82" i="10"/>
  <c r="Q82" i="10"/>
  <c r="H84" i="4" a="1"/>
  <c r="H84" i="4"/>
  <c r="W84" i="4"/>
  <c r="C84" i="4"/>
  <c r="D84" i="4"/>
  <c r="V84" i="4"/>
  <c r="S84" i="4"/>
  <c r="T84" i="4"/>
  <c r="G84" i="4"/>
  <c r="J84" i="4"/>
  <c r="E84" i="4"/>
  <c r="R84" i="4"/>
  <c r="P84" i="4"/>
  <c r="U84" i="4" a="1"/>
  <c r="U84" i="4"/>
  <c r="Q84" i="4"/>
  <c r="I84" i="4"/>
  <c r="F84" i="4"/>
  <c r="S83" i="10"/>
  <c r="H83" i="10" a="1"/>
  <c r="H83" i="10"/>
  <c r="R83" i="10"/>
  <c r="G83" i="10"/>
  <c r="Q83" i="10"/>
  <c r="F83" i="10"/>
  <c r="W83" i="10"/>
  <c r="P83" i="10"/>
  <c r="E83" i="10"/>
  <c r="V83" i="10"/>
  <c r="D83" i="10"/>
  <c r="J83" i="10"/>
  <c r="C83" i="10"/>
  <c r="U83" i="10" a="1"/>
  <c r="U83" i="10"/>
  <c r="T83" i="10"/>
  <c r="I83" i="10"/>
  <c r="G85" i="4"/>
  <c r="I85" i="4"/>
  <c r="E85" i="4"/>
  <c r="T85" i="4"/>
  <c r="R85" i="4"/>
  <c r="F85" i="4"/>
  <c r="U85" i="4" a="1"/>
  <c r="U85" i="4"/>
  <c r="D85" i="4"/>
  <c r="V85" i="4"/>
  <c r="S85" i="4"/>
  <c r="C85" i="4"/>
  <c r="W85" i="4"/>
  <c r="H85" i="4" a="1"/>
  <c r="H85" i="4"/>
  <c r="Q85" i="4"/>
  <c r="J85" i="4"/>
  <c r="P85" i="4"/>
  <c r="J84" i="10"/>
  <c r="C84" i="10"/>
  <c r="U84" i="10" a="1"/>
  <c r="U84" i="10"/>
  <c r="I84" i="10"/>
  <c r="T84" i="10"/>
  <c r="S84" i="10"/>
  <c r="H84" i="10" a="1"/>
  <c r="H84" i="10"/>
  <c r="R84" i="10"/>
  <c r="G84" i="10"/>
  <c r="Q84" i="10"/>
  <c r="F84" i="10"/>
  <c r="W84" i="10"/>
  <c r="V84" i="10"/>
  <c r="P84" i="10"/>
  <c r="E84" i="10"/>
  <c r="D84" i="10"/>
  <c r="W86" i="4"/>
  <c r="H86" i="4" a="1"/>
  <c r="H86" i="4"/>
  <c r="T86" i="4"/>
  <c r="G86" i="4"/>
  <c r="F86" i="4"/>
  <c r="R86" i="4"/>
  <c r="I86" i="4"/>
  <c r="E86" i="4"/>
  <c r="V86" i="4"/>
  <c r="Q86" i="4"/>
  <c r="P86" i="4"/>
  <c r="S86" i="4"/>
  <c r="J86" i="4"/>
  <c r="U86" i="4" a="1"/>
  <c r="U86" i="4"/>
  <c r="C86" i="4"/>
  <c r="D86" i="4"/>
  <c r="Q85" i="10"/>
  <c r="F85" i="10"/>
  <c r="W85" i="10"/>
  <c r="P85" i="10"/>
  <c r="E85" i="10"/>
  <c r="V85" i="10"/>
  <c r="D85" i="10"/>
  <c r="J85" i="10"/>
  <c r="C85" i="10"/>
  <c r="U85" i="10" a="1"/>
  <c r="U85" i="10"/>
  <c r="I85" i="10"/>
  <c r="T85" i="10"/>
  <c r="H85" i="10" a="1"/>
  <c r="H85" i="10"/>
  <c r="G85" i="10"/>
  <c r="S85" i="10"/>
  <c r="R85" i="10"/>
  <c r="D87" i="4"/>
  <c r="G87" i="4"/>
  <c r="Q87" i="4"/>
  <c r="R87" i="4"/>
  <c r="U87" i="4" a="1"/>
  <c r="U87" i="4"/>
  <c r="H87" i="4" a="1"/>
  <c r="H87" i="4"/>
  <c r="F87" i="4"/>
  <c r="V87" i="4"/>
  <c r="E87" i="4"/>
  <c r="S87" i="4"/>
  <c r="W87" i="4"/>
  <c r="J87" i="4"/>
  <c r="T87" i="4"/>
  <c r="I87" i="4"/>
  <c r="C87" i="4"/>
  <c r="P87" i="4"/>
  <c r="T86" i="10"/>
  <c r="S86" i="10"/>
  <c r="H86" i="10" a="1"/>
  <c r="H86" i="10"/>
  <c r="R86" i="10"/>
  <c r="G86" i="10"/>
  <c r="Q86" i="10"/>
  <c r="F86" i="10"/>
  <c r="W86" i="10"/>
  <c r="P86" i="10"/>
  <c r="E86" i="10"/>
  <c r="V86" i="10"/>
  <c r="D86" i="10"/>
  <c r="U86" i="10" a="1"/>
  <c r="U86" i="10"/>
  <c r="J86" i="10"/>
  <c r="I86" i="10"/>
  <c r="C86" i="10"/>
  <c r="P88" i="4"/>
  <c r="I88" i="4"/>
  <c r="J88" i="4"/>
  <c r="R88" i="4"/>
  <c r="G88" i="4"/>
  <c r="H88" i="4" a="1"/>
  <c r="H88" i="4"/>
  <c r="E88" i="4"/>
  <c r="F88" i="4"/>
  <c r="W88" i="4"/>
  <c r="S88" i="4"/>
  <c r="C88" i="4"/>
  <c r="D88" i="4"/>
  <c r="Q88" i="4"/>
  <c r="V88" i="4"/>
  <c r="T88" i="4"/>
  <c r="U88" i="4" a="1"/>
  <c r="U88" i="4"/>
  <c r="V87" i="10"/>
  <c r="D87" i="10"/>
  <c r="J87" i="10"/>
  <c r="C87" i="10"/>
  <c r="U87" i="10" a="1"/>
  <c r="U87" i="10"/>
  <c r="I87" i="10"/>
  <c r="T87" i="10"/>
  <c r="S87" i="10"/>
  <c r="H87" i="10" a="1"/>
  <c r="H87" i="10"/>
  <c r="R87" i="10"/>
  <c r="G87" i="10"/>
  <c r="P87" i="10"/>
  <c r="W87" i="10"/>
  <c r="Q87" i="10"/>
  <c r="F87" i="10"/>
  <c r="E87" i="10"/>
  <c r="C89" i="4"/>
  <c r="T89" i="4"/>
  <c r="R89" i="4"/>
  <c r="I89" i="4"/>
  <c r="J89" i="4"/>
  <c r="G89" i="4"/>
  <c r="Q89" i="4"/>
  <c r="S89" i="4"/>
  <c r="H89" i="4" a="1"/>
  <c r="H89" i="4"/>
  <c r="V89" i="4"/>
  <c r="F89" i="4"/>
  <c r="E89" i="4"/>
  <c r="W89" i="4"/>
  <c r="D89" i="4"/>
  <c r="P89" i="4"/>
  <c r="U89" i="4" a="1"/>
  <c r="U89" i="4"/>
  <c r="R88" i="10"/>
  <c r="G88" i="10"/>
  <c r="Q88" i="10"/>
  <c r="F88" i="10"/>
  <c r="W88" i="10"/>
  <c r="P88" i="10"/>
  <c r="E88" i="10"/>
  <c r="V88" i="10"/>
  <c r="D88" i="10"/>
  <c r="J88" i="10"/>
  <c r="C88" i="10"/>
  <c r="U88" i="10" a="1"/>
  <c r="U88" i="10"/>
  <c r="I88" i="10"/>
  <c r="H88" i="10" a="1"/>
  <c r="H88" i="10"/>
  <c r="T88" i="10"/>
  <c r="S88" i="10"/>
  <c r="T90" i="4"/>
  <c r="Q90" i="4"/>
  <c r="C90" i="4"/>
  <c r="F90" i="4"/>
  <c r="R90" i="4"/>
  <c r="G90" i="4"/>
  <c r="W90" i="4"/>
  <c r="I90" i="4"/>
  <c r="P90" i="4"/>
  <c r="S90" i="4"/>
  <c r="E90" i="4"/>
  <c r="V90" i="4"/>
  <c r="H90" i="4" a="1"/>
  <c r="H90" i="4"/>
  <c r="D90" i="4"/>
  <c r="U90" i="4" a="1"/>
  <c r="U90" i="4"/>
  <c r="J90" i="4"/>
  <c r="U89" i="10" a="1"/>
  <c r="U89" i="10"/>
  <c r="I89" i="10"/>
  <c r="T89" i="10"/>
  <c r="S89" i="10"/>
  <c r="H89" i="10" a="1"/>
  <c r="H89" i="10"/>
  <c r="R89" i="10"/>
  <c r="G89" i="10"/>
  <c r="Q89" i="10"/>
  <c r="F89" i="10"/>
  <c r="W89" i="10"/>
  <c r="P89" i="10"/>
  <c r="E89" i="10"/>
  <c r="C89" i="10"/>
  <c r="V89" i="10"/>
  <c r="J89" i="10"/>
  <c r="D89" i="10"/>
  <c r="W90" i="10"/>
  <c r="P90" i="10"/>
  <c r="E90" i="10"/>
  <c r="V90" i="10"/>
  <c r="D90" i="10"/>
  <c r="J90" i="10"/>
  <c r="C90" i="10"/>
  <c r="U90" i="10" a="1"/>
  <c r="U90" i="10"/>
  <c r="I90" i="10"/>
  <c r="T90" i="10"/>
  <c r="S90" i="10"/>
  <c r="H90" i="10" a="1"/>
  <c r="H90" i="10"/>
  <c r="Q90" i="10"/>
  <c r="R90" i="10"/>
  <c r="G90" i="10"/>
  <c r="F90" i="10"/>
  <c r="C5" i="11"/>
  <c r="I5" i="11"/>
  <c r="H5" i="11" a="1"/>
  <c r="H5" i="11"/>
  <c r="P5" i="11"/>
  <c r="D5" i="11"/>
  <c r="V5" i="11"/>
  <c r="S5" i="11"/>
  <c r="J5" i="11"/>
  <c r="U5" i="11" a="1"/>
  <c r="U5" i="11"/>
  <c r="E5" i="11"/>
  <c r="Q5" i="11"/>
  <c r="G5" i="11"/>
  <c r="F5" i="11"/>
  <c r="T5" i="11"/>
  <c r="W5" i="11"/>
  <c r="R5" i="11"/>
  <c r="P4" i="11"/>
  <c r="S4" i="11"/>
  <c r="W4" i="11"/>
  <c r="T4" i="11"/>
  <c r="R4" i="11"/>
  <c r="F4" i="11"/>
  <c r="I4" i="11"/>
  <c r="Q4" i="11"/>
  <c r="U4" i="11" a="1"/>
  <c r="U4" i="11"/>
  <c r="C4" i="11"/>
  <c r="G4" i="11"/>
  <c r="J4" i="11"/>
  <c r="D4" i="11"/>
  <c r="E4" i="11"/>
  <c r="H4" i="11" a="1"/>
  <c r="H4" i="11"/>
  <c r="V4" i="11"/>
  <c r="F6" i="11"/>
  <c r="T6" i="11"/>
  <c r="U6" i="11" a="1"/>
  <c r="U6" i="11"/>
  <c r="I6" i="11"/>
  <c r="Q6" i="11"/>
  <c r="V6" i="11"/>
  <c r="H6" i="11" a="1"/>
  <c r="H6" i="11"/>
  <c r="S6" i="11"/>
  <c r="R6" i="11"/>
  <c r="E6" i="11"/>
  <c r="C6" i="11"/>
  <c r="W6" i="11"/>
  <c r="G6" i="11"/>
  <c r="D6" i="11"/>
  <c r="J6" i="11"/>
  <c r="P6" i="11"/>
  <c r="R7" i="11"/>
  <c r="H7" i="11" a="1"/>
  <c r="H7" i="11"/>
  <c r="W7" i="11"/>
  <c r="C7" i="11"/>
  <c r="V7" i="11"/>
  <c r="F7" i="11"/>
  <c r="P7" i="11"/>
  <c r="D7" i="11"/>
  <c r="E7" i="11"/>
  <c r="U7" i="11" a="1"/>
  <c r="U7" i="11"/>
  <c r="T7" i="11"/>
  <c r="S7" i="11"/>
  <c r="J7" i="11"/>
  <c r="Q7" i="11"/>
  <c r="G7" i="11"/>
  <c r="I7" i="11"/>
  <c r="I8" i="11"/>
  <c r="S8" i="11"/>
  <c r="V8" i="11"/>
  <c r="H8" i="11" a="1"/>
  <c r="H8" i="11"/>
  <c r="G8" i="11"/>
  <c r="Q8" i="11"/>
  <c r="U8" i="11" a="1"/>
  <c r="U8" i="11"/>
  <c r="F8" i="11"/>
  <c r="E8" i="11"/>
  <c r="J8" i="11"/>
  <c r="P8" i="11"/>
  <c r="W8" i="11"/>
  <c r="D8" i="11"/>
  <c r="T8" i="11"/>
  <c r="R8" i="11"/>
  <c r="C8" i="11"/>
  <c r="Q9" i="11"/>
  <c r="C9" i="11"/>
  <c r="H9" i="11" a="1"/>
  <c r="H9" i="11"/>
  <c r="V9" i="11"/>
  <c r="T9" i="11"/>
  <c r="P9" i="11"/>
  <c r="J9" i="11"/>
  <c r="G9" i="11"/>
  <c r="D9" i="11"/>
  <c r="U9" i="11" a="1"/>
  <c r="U9" i="11"/>
  <c r="I9" i="11"/>
  <c r="E9" i="11"/>
  <c r="F9" i="11"/>
  <c r="W9" i="11"/>
  <c r="R9" i="11"/>
  <c r="S9" i="11"/>
  <c r="W10" i="11"/>
  <c r="D10" i="11"/>
  <c r="G10" i="11"/>
  <c r="Q10" i="11"/>
  <c r="H10" i="11" a="1"/>
  <c r="H10" i="11"/>
  <c r="R10" i="11"/>
  <c r="U10" i="11" a="1"/>
  <c r="U10" i="11"/>
  <c r="T10" i="11"/>
  <c r="J10" i="11"/>
  <c r="P10" i="11"/>
  <c r="E10" i="11"/>
  <c r="F10" i="11"/>
  <c r="I10" i="11"/>
  <c r="V10" i="11"/>
  <c r="C10" i="11"/>
  <c r="S10" i="11"/>
  <c r="W11" i="11"/>
  <c r="V11" i="11"/>
  <c r="C11" i="11"/>
  <c r="S11" i="11"/>
  <c r="D11" i="11"/>
  <c r="U11" i="11" a="1"/>
  <c r="U11" i="11"/>
  <c r="E11" i="11"/>
  <c r="T11" i="11"/>
  <c r="P11" i="11"/>
  <c r="G11" i="11"/>
  <c r="J11" i="11"/>
  <c r="Q11" i="11"/>
  <c r="R11" i="11"/>
  <c r="H11" i="11" a="1"/>
  <c r="H11" i="11"/>
  <c r="F11" i="11"/>
  <c r="I11" i="11"/>
  <c r="Q12" i="11"/>
  <c r="V12" i="11"/>
  <c r="J12" i="11"/>
  <c r="F12" i="11"/>
  <c r="D12" i="11"/>
  <c r="S12" i="11"/>
  <c r="R12" i="11"/>
  <c r="H12" i="11" a="1"/>
  <c r="H12" i="11"/>
  <c r="I12" i="11"/>
  <c r="W12" i="11"/>
  <c r="E12" i="11"/>
  <c r="G12" i="11"/>
  <c r="U12" i="11" a="1"/>
  <c r="U12" i="11"/>
  <c r="C12" i="11"/>
  <c r="T12" i="11"/>
  <c r="P12" i="11"/>
  <c r="T13" i="11"/>
  <c r="W13" i="11"/>
  <c r="C13" i="11"/>
  <c r="R13" i="11"/>
  <c r="E13" i="11"/>
  <c r="F13" i="11"/>
  <c r="Q13" i="11"/>
  <c r="I13" i="11"/>
  <c r="J13" i="11"/>
  <c r="V13" i="11"/>
  <c r="P13" i="11"/>
  <c r="U13" i="11" a="1"/>
  <c r="U13" i="11"/>
  <c r="G13" i="11"/>
  <c r="H13" i="11" a="1"/>
  <c r="H13" i="11"/>
  <c r="S13" i="11"/>
  <c r="D13" i="11"/>
  <c r="R14" i="11"/>
  <c r="I14" i="11"/>
  <c r="S14" i="11"/>
  <c r="G14" i="11"/>
  <c r="D14" i="11"/>
  <c r="J14" i="11"/>
  <c r="W14" i="11"/>
  <c r="V14" i="11"/>
  <c r="C14" i="11"/>
  <c r="Q14" i="11"/>
  <c r="U14" i="11" a="1"/>
  <c r="U14" i="11"/>
  <c r="H14" i="11" a="1"/>
  <c r="H14" i="11"/>
  <c r="F14" i="11"/>
  <c r="T14" i="11"/>
  <c r="E14" i="11"/>
  <c r="P14" i="11"/>
  <c r="R15" i="11"/>
  <c r="P15" i="11"/>
  <c r="Q15" i="11"/>
  <c r="T15" i="11"/>
  <c r="W15" i="11"/>
  <c r="V15" i="11"/>
  <c r="D15" i="11"/>
  <c r="F15" i="11"/>
  <c r="J15" i="11"/>
  <c r="G15" i="11"/>
  <c r="I15" i="11"/>
  <c r="E15" i="11"/>
  <c r="U15" i="11" a="1"/>
  <c r="U15" i="11"/>
  <c r="H15" i="11" a="1"/>
  <c r="H15" i="11"/>
  <c r="S15" i="11"/>
  <c r="C15" i="11"/>
  <c r="I16" i="11"/>
  <c r="C16" i="11"/>
  <c r="U16" i="11" a="1"/>
  <c r="U16" i="11"/>
  <c r="T16" i="11"/>
  <c r="Q16" i="11"/>
  <c r="G16" i="11"/>
  <c r="S16" i="11"/>
  <c r="D16" i="11"/>
  <c r="J16" i="11"/>
  <c r="P16" i="11"/>
  <c r="R16" i="11"/>
  <c r="E16" i="11"/>
  <c r="F16" i="11"/>
  <c r="W16" i="11"/>
  <c r="V16" i="11"/>
  <c r="H16" i="11" a="1"/>
  <c r="H16" i="11"/>
  <c r="E17" i="11"/>
  <c r="D17" i="11"/>
  <c r="R17" i="11"/>
  <c r="C17" i="11"/>
  <c r="I17" i="11"/>
  <c r="J17" i="11"/>
  <c r="V17" i="11"/>
  <c r="Q17" i="11"/>
  <c r="T17" i="11"/>
  <c r="P17" i="11"/>
  <c r="U17" i="11" a="1"/>
  <c r="U17" i="11"/>
  <c r="W17" i="11"/>
  <c r="G17" i="11"/>
  <c r="F17" i="11"/>
  <c r="H17" i="11" a="1"/>
  <c r="H17" i="11"/>
  <c r="S17" i="11"/>
  <c r="Q18" i="11"/>
  <c r="F18" i="11"/>
  <c r="J18" i="11"/>
  <c r="P18" i="11"/>
  <c r="H18" i="11" a="1"/>
  <c r="H18" i="11"/>
  <c r="D18" i="11"/>
  <c r="I18" i="11"/>
  <c r="V18" i="11"/>
  <c r="R18" i="11"/>
  <c r="W18" i="11"/>
  <c r="S18" i="11"/>
  <c r="U18" i="11" a="1"/>
  <c r="U18" i="11"/>
  <c r="G18" i="11"/>
  <c r="T18" i="11"/>
  <c r="E18" i="11"/>
  <c r="C18" i="11"/>
  <c r="W19" i="11"/>
  <c r="J19" i="11"/>
  <c r="H19" i="11" a="1"/>
  <c r="H19" i="11"/>
  <c r="G19" i="11"/>
  <c r="E19" i="11"/>
  <c r="U19" i="11" a="1"/>
  <c r="U19" i="11"/>
  <c r="R19" i="11"/>
  <c r="C19" i="11"/>
  <c r="D19" i="11"/>
  <c r="Q19" i="11"/>
  <c r="S19" i="11"/>
  <c r="V19" i="11"/>
  <c r="P19" i="11"/>
  <c r="I19" i="11"/>
  <c r="T19" i="11"/>
  <c r="F19" i="11"/>
  <c r="F20" i="11"/>
  <c r="J20" i="11"/>
  <c r="P20" i="11"/>
  <c r="H20" i="11" a="1"/>
  <c r="H20" i="11"/>
  <c r="Q20" i="11"/>
  <c r="G20" i="11"/>
  <c r="U20" i="11" a="1"/>
  <c r="U20" i="11"/>
  <c r="S20" i="11"/>
  <c r="I20" i="11"/>
  <c r="W20" i="11"/>
  <c r="V20" i="11"/>
  <c r="C20" i="11"/>
  <c r="T20" i="11"/>
  <c r="R20" i="11"/>
  <c r="E20" i="11"/>
  <c r="D20" i="11"/>
  <c r="J21" i="11"/>
  <c r="I21" i="11"/>
  <c r="C21" i="11"/>
  <c r="E21" i="11"/>
  <c r="D21" i="11"/>
  <c r="R21" i="11"/>
  <c r="G21" i="11"/>
  <c r="P21" i="11"/>
  <c r="T21" i="11"/>
  <c r="U21" i="11" a="1"/>
  <c r="U21" i="11"/>
  <c r="S21" i="11"/>
  <c r="V21" i="11"/>
  <c r="Q21" i="11"/>
  <c r="F21" i="11"/>
  <c r="H21" i="11" a="1"/>
  <c r="H21" i="11"/>
  <c r="W21" i="11"/>
  <c r="S22" i="11"/>
  <c r="F22" i="11"/>
  <c r="U22" i="11" a="1"/>
  <c r="U22" i="11"/>
  <c r="Q22" i="11"/>
  <c r="E22" i="11"/>
  <c r="C22" i="11"/>
  <c r="H22" i="11" a="1"/>
  <c r="H22" i="11"/>
  <c r="P22" i="11"/>
  <c r="T22" i="11"/>
  <c r="R22" i="11"/>
  <c r="W22" i="11"/>
  <c r="J22" i="11"/>
  <c r="D22" i="11"/>
  <c r="G22" i="11"/>
  <c r="V22" i="11"/>
  <c r="I22" i="11"/>
  <c r="D23" i="11"/>
  <c r="E23" i="11"/>
  <c r="U23" i="11" a="1"/>
  <c r="U23" i="11"/>
  <c r="W23" i="11"/>
  <c r="Q23" i="11"/>
  <c r="V23" i="11"/>
  <c r="F23" i="11"/>
  <c r="P23" i="11"/>
  <c r="T23" i="11"/>
  <c r="I23" i="11"/>
  <c r="J23" i="11"/>
  <c r="S23" i="11"/>
  <c r="R23" i="11"/>
  <c r="G23" i="11"/>
  <c r="C23" i="11"/>
  <c r="H23" i="11" a="1"/>
  <c r="H23" i="11"/>
  <c r="U24" i="11" a="1"/>
  <c r="U24" i="11"/>
  <c r="Q24" i="11"/>
  <c r="H24" i="11" a="1"/>
  <c r="H24" i="11"/>
  <c r="C24" i="11"/>
  <c r="P24" i="11"/>
  <c r="V24" i="11"/>
  <c r="E24" i="11"/>
  <c r="W24" i="11"/>
  <c r="T24" i="11"/>
  <c r="S24" i="11"/>
  <c r="I24" i="11"/>
  <c r="F24" i="11"/>
  <c r="R24" i="11"/>
  <c r="D24" i="11"/>
  <c r="J24" i="11"/>
  <c r="G24" i="11"/>
  <c r="D25" i="11"/>
  <c r="I25" i="11"/>
  <c r="W25" i="11"/>
  <c r="Q25" i="11"/>
  <c r="V25" i="11"/>
  <c r="J25" i="11"/>
  <c r="F25" i="11"/>
  <c r="G25" i="11"/>
  <c r="S25" i="11"/>
  <c r="C25" i="11"/>
  <c r="H25" i="11" a="1"/>
  <c r="H25" i="11"/>
  <c r="P25" i="11"/>
  <c r="E25" i="11"/>
  <c r="U25" i="11" a="1"/>
  <c r="U25" i="11"/>
  <c r="R25" i="11"/>
  <c r="T25" i="11"/>
  <c r="I26" i="11"/>
  <c r="S26" i="11"/>
  <c r="P26" i="11"/>
  <c r="F26" i="11"/>
  <c r="R26" i="11"/>
  <c r="W26" i="11"/>
  <c r="G26" i="11"/>
  <c r="C26" i="11"/>
  <c r="T26" i="11"/>
  <c r="Q26" i="11"/>
  <c r="D26" i="11"/>
  <c r="J26" i="11"/>
  <c r="V26" i="11"/>
  <c r="U26" i="11" a="1"/>
  <c r="U26" i="11"/>
  <c r="H26" i="11" a="1"/>
  <c r="H26" i="11"/>
  <c r="E26" i="11"/>
  <c r="F27" i="11"/>
  <c r="C27" i="11"/>
  <c r="G27" i="11"/>
  <c r="J27" i="11"/>
  <c r="I27" i="11"/>
  <c r="R27" i="11"/>
  <c r="D27" i="11"/>
  <c r="V27" i="11"/>
  <c r="E27" i="11"/>
  <c r="S27" i="11"/>
  <c r="U27" i="11" a="1"/>
  <c r="U27" i="11"/>
  <c r="H27" i="11" a="1"/>
  <c r="H27" i="11"/>
  <c r="Q27" i="11"/>
  <c r="P27" i="11"/>
  <c r="T27" i="11"/>
  <c r="W27" i="11"/>
  <c r="T28" i="11"/>
  <c r="J28" i="11"/>
  <c r="G28" i="11"/>
  <c r="R28" i="11"/>
  <c r="F28" i="11"/>
  <c r="P28" i="11"/>
  <c r="V28" i="11"/>
  <c r="E28" i="11"/>
  <c r="Q28" i="11"/>
  <c r="U28" i="11" a="1"/>
  <c r="U28" i="11"/>
  <c r="C28" i="11"/>
  <c r="H28" i="11" a="1"/>
  <c r="H28" i="11"/>
  <c r="I28" i="11"/>
  <c r="D28" i="11"/>
  <c r="W28" i="11"/>
  <c r="S28" i="11"/>
  <c r="E29" i="11"/>
  <c r="W29" i="11"/>
  <c r="D29" i="11"/>
  <c r="I29" i="11"/>
  <c r="Q29" i="11"/>
  <c r="T29" i="11"/>
  <c r="G29" i="11"/>
  <c r="C29" i="11"/>
  <c r="P29" i="11"/>
  <c r="H29" i="11" a="1"/>
  <c r="H29" i="11"/>
  <c r="V29" i="11"/>
  <c r="R29" i="11"/>
  <c r="U29" i="11" a="1"/>
  <c r="U29" i="11"/>
  <c r="J29" i="11"/>
  <c r="F29" i="11"/>
  <c r="S29" i="11"/>
  <c r="W30" i="11"/>
  <c r="S30" i="11"/>
  <c r="J30" i="11"/>
  <c r="D30" i="11"/>
  <c r="C30" i="11"/>
  <c r="H30" i="11" a="1"/>
  <c r="H30" i="11"/>
  <c r="P30" i="11"/>
  <c r="E30" i="11"/>
  <c r="I30" i="11"/>
  <c r="F30" i="11"/>
  <c r="T30" i="11"/>
  <c r="G30" i="11"/>
  <c r="U30" i="11" a="1"/>
  <c r="U30" i="11"/>
  <c r="V30" i="11"/>
  <c r="Q30" i="11"/>
  <c r="R30" i="11"/>
  <c r="G31" i="11"/>
  <c r="E31" i="11"/>
  <c r="C31" i="11"/>
  <c r="P31" i="11"/>
  <c r="Q31" i="11"/>
  <c r="F31" i="11"/>
  <c r="S31" i="11"/>
  <c r="R31" i="11"/>
  <c r="V31" i="11"/>
  <c r="D31" i="11"/>
  <c r="H31" i="11" a="1"/>
  <c r="H31" i="11"/>
  <c r="T31" i="11"/>
  <c r="U31" i="11" a="1"/>
  <c r="U31" i="11"/>
  <c r="W31" i="11"/>
  <c r="I31" i="11"/>
  <c r="J31" i="11"/>
  <c r="G32" i="11"/>
  <c r="E32" i="11"/>
  <c r="R32" i="11"/>
  <c r="J32" i="11"/>
  <c r="W32" i="11"/>
  <c r="V32" i="11"/>
  <c r="S32" i="11"/>
  <c r="F32" i="11"/>
  <c r="T32" i="11"/>
  <c r="I32" i="11"/>
  <c r="D32" i="11"/>
  <c r="C32" i="11"/>
  <c r="Q32" i="11"/>
  <c r="U32" i="11" a="1"/>
  <c r="U32" i="11"/>
  <c r="P32" i="11"/>
  <c r="H32" i="11" a="1"/>
  <c r="H32" i="11"/>
  <c r="S33" i="11"/>
  <c r="Q33" i="11"/>
  <c r="H33" i="11" a="1"/>
  <c r="H33" i="11"/>
  <c r="P33" i="11"/>
  <c r="J33" i="11"/>
  <c r="T33" i="11"/>
  <c r="E33" i="11"/>
  <c r="R33" i="11"/>
  <c r="D33" i="11"/>
  <c r="U33" i="11" a="1"/>
  <c r="U33" i="11"/>
  <c r="G33" i="11"/>
  <c r="V33" i="11"/>
  <c r="I33" i="11"/>
  <c r="W33" i="11"/>
  <c r="F33" i="11"/>
  <c r="C33" i="11"/>
  <c r="F34" i="11"/>
  <c r="S34" i="11"/>
  <c r="P34" i="11"/>
  <c r="Q34" i="11"/>
  <c r="H34" i="11" a="1"/>
  <c r="H34" i="11"/>
  <c r="W34" i="11"/>
  <c r="U34" i="11" a="1"/>
  <c r="U34" i="11"/>
  <c r="E34" i="11"/>
  <c r="J34" i="11"/>
  <c r="V34" i="11"/>
  <c r="R34" i="11"/>
  <c r="D34" i="11"/>
  <c r="C34" i="11"/>
  <c r="G34" i="11"/>
  <c r="I34" i="11"/>
  <c r="T34" i="11"/>
  <c r="W35" i="11"/>
  <c r="H35" i="11" a="1"/>
  <c r="H35" i="11"/>
  <c r="T35" i="11"/>
  <c r="P35" i="11"/>
  <c r="E35" i="11"/>
  <c r="J35" i="11"/>
  <c r="C35" i="11"/>
  <c r="U35" i="11" a="1"/>
  <c r="U35" i="11"/>
  <c r="Q35" i="11"/>
  <c r="F35" i="11"/>
  <c r="G35" i="11"/>
  <c r="R35" i="11"/>
  <c r="V35" i="11"/>
  <c r="D35" i="11"/>
  <c r="S35" i="11"/>
  <c r="I35" i="11"/>
  <c r="H36" i="11" a="1"/>
  <c r="H36" i="11"/>
  <c r="R36" i="11"/>
  <c r="E36" i="11"/>
  <c r="P36" i="11"/>
  <c r="C36" i="11"/>
  <c r="G36" i="11"/>
  <c r="T36" i="11"/>
  <c r="I36" i="11"/>
  <c r="S36" i="11"/>
  <c r="V36" i="11"/>
  <c r="J36" i="11"/>
  <c r="F36" i="11"/>
  <c r="D36" i="11"/>
  <c r="W36" i="11"/>
  <c r="U36" i="11" a="1"/>
  <c r="U36" i="11"/>
  <c r="Q36" i="11"/>
  <c r="P37" i="11"/>
  <c r="C37" i="11"/>
  <c r="G37" i="11"/>
  <c r="I37" i="11"/>
  <c r="D37" i="11"/>
  <c r="Q37" i="11"/>
  <c r="U37" i="11" a="1"/>
  <c r="U37" i="11"/>
  <c r="S37" i="11"/>
  <c r="F37" i="11"/>
  <c r="H37" i="11" a="1"/>
  <c r="H37" i="11"/>
  <c r="V37" i="11"/>
  <c r="E37" i="11"/>
  <c r="T37" i="11"/>
  <c r="J37" i="11"/>
  <c r="W37" i="11"/>
  <c r="R37" i="11"/>
  <c r="D38" i="11"/>
  <c r="H38" i="11" a="1"/>
  <c r="H38" i="11"/>
  <c r="J38" i="11"/>
  <c r="E38" i="11"/>
  <c r="Q38" i="11"/>
  <c r="C38" i="11"/>
  <c r="T38" i="11"/>
  <c r="P38" i="11"/>
  <c r="S38" i="11"/>
  <c r="R38" i="11"/>
  <c r="I38" i="11"/>
  <c r="V38" i="11"/>
  <c r="G38" i="11"/>
  <c r="U38" i="11" a="1"/>
  <c r="U38" i="11"/>
  <c r="F38" i="11"/>
  <c r="W38" i="11"/>
  <c r="P39" i="11"/>
  <c r="F39" i="11"/>
  <c r="V39" i="11"/>
  <c r="J39" i="11"/>
  <c r="W39" i="11"/>
  <c r="G39" i="11"/>
  <c r="S39" i="11"/>
  <c r="C39" i="11"/>
  <c r="H39" i="11" a="1"/>
  <c r="H39" i="11"/>
  <c r="R39" i="11"/>
  <c r="T39" i="11"/>
  <c r="E39" i="11"/>
  <c r="Q39" i="11"/>
  <c r="U39" i="11" a="1"/>
  <c r="U39" i="11"/>
  <c r="D39" i="11"/>
  <c r="I39" i="11"/>
  <c r="D40" i="11"/>
  <c r="P40" i="11"/>
  <c r="U40" i="11" a="1"/>
  <c r="U40" i="11"/>
  <c r="F40" i="11"/>
  <c r="Q40" i="11"/>
  <c r="S40" i="11"/>
  <c r="W40" i="11"/>
  <c r="C40" i="11"/>
  <c r="J40" i="11"/>
  <c r="V40" i="11"/>
  <c r="E40" i="11"/>
  <c r="I40" i="11"/>
  <c r="T40" i="11"/>
  <c r="G40" i="11"/>
  <c r="R40" i="11"/>
  <c r="H40" i="11" a="1"/>
  <c r="H40" i="11"/>
  <c r="W41" i="11"/>
  <c r="C41" i="11"/>
  <c r="U41" i="11" a="1"/>
  <c r="U41" i="11"/>
  <c r="H41" i="11" a="1"/>
  <c r="H41" i="11"/>
  <c r="V41" i="11"/>
  <c r="J41" i="11"/>
  <c r="G41" i="11"/>
  <c r="I41" i="11"/>
  <c r="T41" i="11"/>
  <c r="R41" i="11"/>
  <c r="Q41" i="11"/>
  <c r="S41" i="11"/>
  <c r="P41" i="11"/>
  <c r="E41" i="11"/>
  <c r="D41" i="11"/>
  <c r="F41" i="11"/>
  <c r="W42" i="11"/>
  <c r="S42" i="11"/>
  <c r="I42" i="11"/>
  <c r="H42" i="11" a="1"/>
  <c r="H42" i="11"/>
  <c r="T42" i="11"/>
  <c r="D42" i="11"/>
  <c r="G42" i="11"/>
  <c r="J42" i="11"/>
  <c r="V42" i="11"/>
  <c r="P42" i="11"/>
  <c r="Q42" i="11"/>
  <c r="F42" i="11"/>
  <c r="R42" i="11"/>
  <c r="U42" i="11" a="1"/>
  <c r="U42" i="11"/>
  <c r="E42" i="11"/>
  <c r="C42" i="11"/>
  <c r="C43" i="11"/>
  <c r="F43" i="11"/>
  <c r="Q43" i="11"/>
  <c r="T43" i="11"/>
  <c r="I43" i="11"/>
  <c r="P43" i="11"/>
  <c r="J43" i="11"/>
  <c r="R43" i="11"/>
  <c r="H43" i="11" a="1"/>
  <c r="H43" i="11"/>
  <c r="V43" i="11"/>
  <c r="D43" i="11"/>
  <c r="W43" i="11"/>
  <c r="G43" i="11"/>
  <c r="E43" i="11"/>
  <c r="U43" i="11" a="1"/>
  <c r="U43" i="11"/>
  <c r="S43" i="11"/>
  <c r="Q44" i="11"/>
  <c r="T44" i="11"/>
  <c r="I44" i="11"/>
  <c r="W44" i="11"/>
  <c r="S44" i="11"/>
  <c r="J44" i="11"/>
  <c r="H44" i="11" a="1"/>
  <c r="H44" i="11"/>
  <c r="F44" i="11"/>
  <c r="G44" i="11"/>
  <c r="U44" i="11" a="1"/>
  <c r="U44" i="11"/>
  <c r="V44" i="11"/>
  <c r="P44" i="11"/>
  <c r="E44" i="11"/>
  <c r="C44" i="11"/>
  <c r="R44" i="11"/>
  <c r="D44" i="11"/>
  <c r="T45" i="11"/>
  <c r="U45" i="11" a="1"/>
  <c r="U45" i="11"/>
  <c r="J45" i="11"/>
  <c r="E45" i="11"/>
  <c r="I45" i="11"/>
  <c r="F45" i="11"/>
  <c r="Q45" i="11"/>
  <c r="H45" i="11" a="1"/>
  <c r="H45" i="11"/>
  <c r="P45" i="11"/>
  <c r="D45" i="11"/>
  <c r="G45" i="11"/>
  <c r="V45" i="11"/>
  <c r="C45" i="11"/>
  <c r="S45" i="11"/>
  <c r="R45" i="11"/>
  <c r="W45" i="11"/>
  <c r="V46" i="11"/>
  <c r="R46" i="11"/>
  <c r="Q46" i="11"/>
  <c r="G46" i="11"/>
  <c r="U46" i="11" a="1"/>
  <c r="U46" i="11"/>
  <c r="P46" i="11"/>
  <c r="T46" i="11"/>
  <c r="F46" i="11"/>
  <c r="S46" i="11"/>
  <c r="D46" i="11"/>
  <c r="C46" i="11"/>
  <c r="H46" i="11" a="1"/>
  <c r="H46" i="11"/>
  <c r="I46" i="11"/>
  <c r="E46" i="11"/>
  <c r="J46" i="11"/>
  <c r="W46" i="11"/>
  <c r="G47" i="11"/>
  <c r="S47" i="11"/>
  <c r="W47" i="11"/>
  <c r="T47" i="11"/>
  <c r="H47" i="11" a="1"/>
  <c r="H47" i="11"/>
  <c r="P47" i="11"/>
  <c r="J47" i="11"/>
  <c r="E47" i="11"/>
  <c r="Q47" i="11"/>
  <c r="I47" i="11"/>
  <c r="U47" i="11" a="1"/>
  <c r="U47" i="11"/>
  <c r="F47" i="11"/>
  <c r="R47" i="11"/>
  <c r="V47" i="11"/>
  <c r="C47" i="11"/>
  <c r="D47" i="11"/>
  <c r="I48" i="11"/>
  <c r="D48" i="11"/>
  <c r="E48" i="11"/>
  <c r="P48" i="11"/>
  <c r="W48" i="11"/>
  <c r="G48" i="11"/>
  <c r="T48" i="11"/>
  <c r="H48" i="11" a="1"/>
  <c r="H48" i="11"/>
  <c r="S48" i="11"/>
  <c r="U48" i="11" a="1"/>
  <c r="U48" i="11"/>
  <c r="C48" i="11"/>
  <c r="J48" i="11"/>
  <c r="V48" i="11"/>
  <c r="F48" i="11"/>
  <c r="Q48" i="11"/>
  <c r="R48" i="11"/>
  <c r="G49" i="11"/>
  <c r="W49" i="11"/>
  <c r="U49" i="11" a="1"/>
  <c r="U49" i="11"/>
  <c r="T49" i="11"/>
  <c r="C49" i="11"/>
  <c r="D49" i="11"/>
  <c r="I49" i="11"/>
  <c r="Q49" i="11"/>
  <c r="J49" i="11"/>
  <c r="R49" i="11"/>
  <c r="F49" i="11"/>
  <c r="V49" i="11"/>
  <c r="P49" i="11"/>
  <c r="E49" i="11"/>
  <c r="H49" i="11" a="1"/>
  <c r="H49" i="11"/>
  <c r="S49" i="11"/>
  <c r="I50" i="11"/>
  <c r="G50" i="11"/>
  <c r="T50" i="11"/>
  <c r="W50" i="11"/>
  <c r="C50" i="11"/>
  <c r="P50" i="11"/>
  <c r="R50" i="11"/>
  <c r="S50" i="11"/>
  <c r="U50" i="11" a="1"/>
  <c r="U50" i="11"/>
  <c r="H50" i="11" a="1"/>
  <c r="H50" i="11"/>
  <c r="E50" i="11"/>
  <c r="Q50" i="11"/>
  <c r="V50" i="11"/>
  <c r="J50" i="11"/>
  <c r="D50" i="11"/>
  <c r="F50" i="11"/>
  <c r="E51" i="11"/>
  <c r="I51" i="11"/>
  <c r="V51" i="11"/>
  <c r="P51" i="11"/>
  <c r="W51" i="11"/>
  <c r="J51" i="11"/>
  <c r="R51" i="11"/>
  <c r="Q51" i="11"/>
  <c r="S51" i="11"/>
  <c r="U51" i="11" a="1"/>
  <c r="U51" i="11"/>
  <c r="C51" i="11"/>
  <c r="H51" i="11" a="1"/>
  <c r="H51" i="11"/>
  <c r="T51" i="11"/>
  <c r="F51" i="11"/>
  <c r="G51" i="11"/>
  <c r="D51" i="11"/>
  <c r="G52" i="11"/>
  <c r="P52" i="11"/>
  <c r="U52" i="11" a="1"/>
  <c r="U52" i="11"/>
  <c r="H52" i="11" a="1"/>
  <c r="H52" i="11"/>
  <c r="F52" i="11"/>
  <c r="E52" i="11"/>
  <c r="W52" i="11"/>
  <c r="J52" i="11"/>
  <c r="C52" i="11"/>
  <c r="V52" i="11"/>
  <c r="R52" i="11"/>
  <c r="D52" i="11"/>
  <c r="Q52" i="11"/>
  <c r="T52" i="11"/>
  <c r="S52" i="11"/>
  <c r="I52" i="11"/>
  <c r="Q53" i="11"/>
  <c r="E53" i="11"/>
  <c r="I53" i="11"/>
  <c r="F53" i="11"/>
  <c r="P53" i="11"/>
  <c r="R53" i="11"/>
  <c r="J53" i="11"/>
  <c r="W53" i="11"/>
  <c r="D53" i="11"/>
  <c r="V53" i="11"/>
  <c r="H53" i="11" a="1"/>
  <c r="H53" i="11"/>
  <c r="C53" i="11"/>
  <c r="U53" i="11" a="1"/>
  <c r="U53" i="11"/>
  <c r="G53" i="11"/>
  <c r="T53" i="11"/>
  <c r="S53" i="11"/>
  <c r="J54" i="11"/>
  <c r="S54" i="11"/>
  <c r="F54" i="11"/>
  <c r="I54" i="11"/>
  <c r="R54" i="11"/>
  <c r="H54" i="11" a="1"/>
  <c r="H54" i="11"/>
  <c r="V54" i="11"/>
  <c r="U54" i="11" a="1"/>
  <c r="U54" i="11"/>
  <c r="G54" i="11"/>
  <c r="Q54" i="11"/>
  <c r="E54" i="11"/>
  <c r="P54" i="11"/>
  <c r="T54" i="11"/>
  <c r="C54" i="11"/>
  <c r="D54" i="11"/>
  <c r="W54" i="11"/>
  <c r="V55" i="11"/>
  <c r="W55" i="11"/>
  <c r="H55" i="11" a="1"/>
  <c r="H55" i="11"/>
  <c r="C55" i="11"/>
  <c r="D55" i="11"/>
  <c r="I55" i="11"/>
  <c r="E55" i="11"/>
  <c r="G55" i="11"/>
  <c r="R55" i="11"/>
  <c r="T55" i="11"/>
  <c r="F55" i="11"/>
  <c r="P55" i="11"/>
  <c r="J55" i="11"/>
  <c r="U55" i="11" a="1"/>
  <c r="U55" i="11"/>
  <c r="S55" i="11"/>
  <c r="Q55" i="11"/>
  <c r="H56" i="11" a="1"/>
  <c r="H56" i="11"/>
  <c r="T56" i="11"/>
  <c r="W56" i="11"/>
  <c r="I56" i="11"/>
  <c r="C56" i="11"/>
  <c r="P56" i="11"/>
  <c r="F56" i="11"/>
  <c r="G56" i="11"/>
  <c r="S56" i="11"/>
  <c r="J56" i="11"/>
  <c r="V56" i="11"/>
  <c r="E56" i="11"/>
  <c r="Q56" i="11"/>
  <c r="R56" i="11"/>
  <c r="D56" i="11"/>
  <c r="U56" i="11" a="1"/>
  <c r="U56" i="11"/>
  <c r="G57" i="11"/>
  <c r="W57" i="11"/>
  <c r="Q57" i="11"/>
  <c r="F57" i="11"/>
  <c r="J57" i="11"/>
  <c r="S57" i="11"/>
  <c r="I57" i="11"/>
  <c r="R57" i="11"/>
  <c r="P57" i="11"/>
  <c r="E57" i="11"/>
  <c r="U57" i="11" a="1"/>
  <c r="U57" i="11"/>
  <c r="H57" i="11" a="1"/>
  <c r="H57" i="11"/>
  <c r="T57" i="11"/>
  <c r="D57" i="11"/>
  <c r="V57" i="11"/>
  <c r="C57" i="11"/>
  <c r="Q58" i="11"/>
  <c r="I58" i="11"/>
  <c r="C58" i="11"/>
  <c r="G58" i="11"/>
  <c r="P58" i="11"/>
  <c r="R58" i="11"/>
  <c r="T58" i="11"/>
  <c r="S58" i="11"/>
  <c r="D58" i="11"/>
  <c r="J58" i="11"/>
  <c r="V58" i="11"/>
  <c r="W58" i="11"/>
  <c r="F58" i="11"/>
  <c r="E58" i="11"/>
  <c r="U58" i="11" a="1"/>
  <c r="U58" i="11"/>
  <c r="H58" i="11" a="1"/>
  <c r="H58" i="11"/>
  <c r="Q59" i="11"/>
  <c r="F59" i="11"/>
  <c r="T59" i="11"/>
  <c r="C59" i="11"/>
  <c r="P59" i="11"/>
  <c r="E59" i="11"/>
  <c r="G59" i="11"/>
  <c r="H59" i="11" a="1"/>
  <c r="H59" i="11"/>
  <c r="U59" i="11" a="1"/>
  <c r="U59" i="11"/>
  <c r="D59" i="11"/>
  <c r="I59" i="11"/>
  <c r="W59" i="11"/>
  <c r="J59" i="11"/>
  <c r="V59" i="11"/>
  <c r="R59" i="11"/>
  <c r="S59" i="11"/>
  <c r="V60" i="11"/>
  <c r="R60" i="11"/>
  <c r="F60" i="11"/>
  <c r="T60" i="11"/>
  <c r="S60" i="11"/>
  <c r="W60" i="11"/>
  <c r="D60" i="11"/>
  <c r="J60" i="11"/>
  <c r="E60" i="11"/>
  <c r="Q60" i="11"/>
  <c r="C60" i="11"/>
  <c r="U60" i="11" a="1"/>
  <c r="U60" i="11"/>
  <c r="H60" i="11" a="1"/>
  <c r="H60" i="11"/>
  <c r="G60" i="11"/>
  <c r="P60" i="11"/>
  <c r="I60" i="11"/>
  <c r="F61" i="11"/>
  <c r="H61" i="11" a="1"/>
  <c r="H61" i="11"/>
  <c r="P61" i="11"/>
  <c r="G61" i="11"/>
  <c r="W61" i="11"/>
  <c r="J61" i="11"/>
  <c r="S61" i="11"/>
  <c r="Q61" i="11"/>
  <c r="V61" i="11"/>
  <c r="T61" i="11"/>
  <c r="I61" i="11"/>
  <c r="R61" i="11"/>
  <c r="E61" i="11"/>
  <c r="U61" i="11" a="1"/>
  <c r="U61" i="11"/>
  <c r="D61" i="11"/>
  <c r="C61" i="11"/>
  <c r="F62" i="11"/>
  <c r="H62" i="11" a="1"/>
  <c r="H62" i="11"/>
  <c r="I62" i="11"/>
  <c r="C62" i="11"/>
  <c r="Q62" i="11"/>
  <c r="T62" i="11"/>
  <c r="G62" i="11"/>
  <c r="P62" i="11"/>
  <c r="J62" i="11"/>
  <c r="S62" i="11"/>
  <c r="R62" i="11"/>
  <c r="V62" i="11"/>
  <c r="U62" i="11" a="1"/>
  <c r="U62" i="11"/>
  <c r="E62" i="11"/>
  <c r="D62" i="11"/>
  <c r="W62" i="11"/>
  <c r="Q63" i="11"/>
  <c r="J63" i="11"/>
  <c r="I63" i="11"/>
  <c r="R63" i="11"/>
  <c r="E63" i="11"/>
  <c r="W63" i="11"/>
  <c r="T63" i="11"/>
  <c r="H63" i="11" a="1"/>
  <c r="H63" i="11"/>
  <c r="V63" i="11"/>
  <c r="D63" i="11"/>
  <c r="P63" i="11"/>
  <c r="F63" i="11"/>
  <c r="G63" i="11"/>
  <c r="U63" i="11" a="1"/>
  <c r="U63" i="11"/>
  <c r="S63" i="11"/>
  <c r="C63" i="11"/>
  <c r="G64" i="11"/>
  <c r="S64" i="11"/>
  <c r="C64" i="11"/>
  <c r="P64" i="11"/>
  <c r="F64" i="11"/>
  <c r="U64" i="11" a="1"/>
  <c r="U64" i="11"/>
  <c r="J64" i="11"/>
  <c r="Q64" i="11"/>
  <c r="V64" i="11"/>
  <c r="T64" i="11"/>
  <c r="R64" i="11"/>
  <c r="W64" i="11"/>
  <c r="E64" i="11"/>
  <c r="D64" i="11"/>
  <c r="I64" i="11"/>
  <c r="H64" i="11" a="1"/>
  <c r="H64" i="11"/>
  <c r="F65" i="11"/>
  <c r="C65" i="11"/>
  <c r="P65" i="11"/>
  <c r="Q65" i="11"/>
  <c r="R65" i="11"/>
  <c r="S65" i="11"/>
  <c r="I65" i="11"/>
  <c r="D65" i="11"/>
  <c r="T65" i="11"/>
  <c r="E65" i="11"/>
  <c r="H65" i="11" a="1"/>
  <c r="H65" i="11"/>
  <c r="J65" i="11"/>
  <c r="V65" i="11"/>
  <c r="W65" i="11"/>
  <c r="U65" i="11" a="1"/>
  <c r="U65" i="11"/>
  <c r="G65" i="11"/>
  <c r="V66" i="11"/>
  <c r="F66" i="11"/>
  <c r="D66" i="11"/>
  <c r="E66" i="11"/>
  <c r="U66" i="11" a="1"/>
  <c r="U66" i="11"/>
  <c r="W66" i="11"/>
  <c r="H66" i="11" a="1"/>
  <c r="H66" i="11"/>
  <c r="Q66" i="11"/>
  <c r="P66" i="11"/>
  <c r="J66" i="11"/>
  <c r="C66" i="11"/>
  <c r="G66" i="11"/>
  <c r="R66" i="11"/>
  <c r="T66" i="11"/>
  <c r="S66" i="11"/>
  <c r="I66" i="11"/>
  <c r="W67" i="11"/>
  <c r="V67" i="11"/>
  <c r="C67" i="11"/>
  <c r="T67" i="11"/>
  <c r="I67" i="11"/>
  <c r="P67" i="11"/>
  <c r="G67" i="11"/>
  <c r="S67" i="11"/>
  <c r="U67" i="11" a="1"/>
  <c r="U67" i="11"/>
  <c r="R67" i="11"/>
  <c r="J67" i="11"/>
  <c r="Q67" i="11"/>
  <c r="F67" i="11"/>
  <c r="D67" i="11"/>
  <c r="E67" i="11"/>
  <c r="H67" i="11" a="1"/>
  <c r="H67" i="11"/>
  <c r="W68" i="11"/>
  <c r="S68" i="11"/>
  <c r="P68" i="11"/>
  <c r="R68" i="11"/>
  <c r="V68" i="11"/>
  <c r="I68" i="11"/>
  <c r="J68" i="11"/>
  <c r="T68" i="11"/>
  <c r="U68" i="11" a="1"/>
  <c r="U68" i="11"/>
  <c r="H68" i="11" a="1"/>
  <c r="H68" i="11"/>
  <c r="Q68" i="11"/>
  <c r="F68" i="11"/>
  <c r="G68" i="11"/>
  <c r="D68" i="11"/>
  <c r="E68" i="11"/>
  <c r="C68" i="11"/>
  <c r="Q69" i="11"/>
  <c r="T69" i="11"/>
  <c r="R69" i="11"/>
  <c r="D69" i="11"/>
  <c r="H69" i="11" a="1"/>
  <c r="H69" i="11"/>
  <c r="F69" i="11"/>
  <c r="S69" i="11"/>
  <c r="U69" i="11" a="1"/>
  <c r="U69" i="11"/>
  <c r="V69" i="11"/>
  <c r="W69" i="11"/>
  <c r="C69" i="11"/>
  <c r="I69" i="11"/>
  <c r="G69" i="11"/>
  <c r="P69" i="11"/>
  <c r="E69" i="11"/>
  <c r="J69" i="11"/>
  <c r="J70" i="11"/>
  <c r="V70" i="11"/>
  <c r="R70" i="11"/>
  <c r="W70" i="11"/>
  <c r="U70" i="11" a="1"/>
  <c r="U70" i="11"/>
  <c r="T70" i="11"/>
  <c r="C70" i="11"/>
  <c r="H70" i="11" a="1"/>
  <c r="H70" i="11"/>
  <c r="D70" i="11"/>
  <c r="G70" i="11"/>
  <c r="E70" i="11"/>
  <c r="F70" i="11"/>
  <c r="P70" i="11"/>
  <c r="I70" i="11"/>
  <c r="S70" i="11"/>
  <c r="Q70" i="11"/>
  <c r="H71" i="11" a="1"/>
  <c r="H71" i="11"/>
  <c r="V71" i="11"/>
  <c r="D71" i="11"/>
  <c r="C71" i="11"/>
  <c r="R71" i="11"/>
  <c r="P71" i="11"/>
  <c r="F71" i="11"/>
  <c r="S71" i="11"/>
  <c r="Q71" i="11"/>
  <c r="U71" i="11" a="1"/>
  <c r="U71" i="11"/>
  <c r="J71" i="11"/>
  <c r="W71" i="11"/>
  <c r="G71" i="11"/>
  <c r="E71" i="11"/>
  <c r="I71" i="11"/>
  <c r="T71" i="11"/>
  <c r="F72" i="11"/>
  <c r="V72" i="11"/>
  <c r="H72" i="11" a="1"/>
  <c r="H72" i="11"/>
  <c r="R72" i="11"/>
  <c r="T72" i="11"/>
  <c r="D72" i="11"/>
  <c r="W72" i="11"/>
  <c r="G72" i="11"/>
  <c r="E72" i="11"/>
  <c r="J72" i="11"/>
  <c r="Q72" i="11"/>
  <c r="S72" i="11"/>
  <c r="U72" i="11" a="1"/>
  <c r="U72" i="11"/>
  <c r="P72" i="11"/>
  <c r="C72" i="11"/>
  <c r="I72" i="11"/>
  <c r="C73" i="11"/>
  <c r="P73" i="11"/>
  <c r="G73" i="11"/>
  <c r="Q73" i="11"/>
  <c r="R73" i="11"/>
  <c r="I73" i="11"/>
  <c r="J73" i="11"/>
  <c r="S73" i="11"/>
  <c r="V73" i="11"/>
  <c r="D73" i="11"/>
  <c r="T73" i="11"/>
  <c r="W73" i="11"/>
  <c r="E73" i="11"/>
  <c r="H73" i="11" a="1"/>
  <c r="H73" i="11"/>
  <c r="F73" i="11"/>
  <c r="U73" i="11" a="1"/>
  <c r="U73" i="11"/>
  <c r="T74" i="11"/>
  <c r="W74" i="11"/>
  <c r="S74" i="11"/>
  <c r="V74" i="11"/>
  <c r="C74" i="11"/>
  <c r="Q74" i="11"/>
  <c r="E74" i="11"/>
  <c r="R74" i="11"/>
  <c r="I74" i="11"/>
  <c r="J74" i="11"/>
  <c r="P74" i="11"/>
  <c r="G74" i="11"/>
  <c r="F74" i="11"/>
  <c r="D74" i="11"/>
  <c r="U74" i="11" a="1"/>
  <c r="U74" i="11"/>
  <c r="H74" i="11" a="1"/>
  <c r="H74" i="11"/>
  <c r="H75" i="11" a="1"/>
  <c r="H75" i="11"/>
  <c r="G75" i="11"/>
  <c r="T75" i="11"/>
  <c r="C75" i="11"/>
  <c r="P75" i="11"/>
  <c r="V75" i="11"/>
  <c r="S75" i="11"/>
  <c r="R75" i="11"/>
  <c r="U75" i="11" a="1"/>
  <c r="U75" i="11"/>
  <c r="J75" i="11"/>
  <c r="W75" i="11"/>
  <c r="Q75" i="11"/>
  <c r="E75" i="11"/>
  <c r="I75" i="11"/>
  <c r="D75" i="11"/>
  <c r="F75" i="11"/>
  <c r="T76" i="11"/>
  <c r="G76" i="11"/>
  <c r="H76" i="11" a="1"/>
  <c r="H76" i="11"/>
  <c r="C76" i="11"/>
  <c r="I76" i="11"/>
  <c r="P76" i="11"/>
  <c r="S76" i="11"/>
  <c r="F76" i="11"/>
  <c r="R76" i="11"/>
  <c r="W76" i="11"/>
  <c r="J76" i="11"/>
  <c r="E76" i="11"/>
  <c r="U76" i="11" a="1"/>
  <c r="U76" i="11"/>
  <c r="D76" i="11"/>
  <c r="V76" i="11"/>
  <c r="Q76" i="11"/>
  <c r="J77" i="11"/>
  <c r="C77" i="11"/>
  <c r="Q77" i="11"/>
  <c r="V77" i="11"/>
  <c r="R77" i="11"/>
  <c r="E77" i="11"/>
  <c r="D77" i="11"/>
  <c r="T77" i="11"/>
  <c r="U77" i="11" a="1"/>
  <c r="U77" i="11"/>
  <c r="W77" i="11"/>
  <c r="H77" i="11" a="1"/>
  <c r="H77" i="11"/>
  <c r="I77" i="11"/>
  <c r="F77" i="11"/>
  <c r="P77" i="11"/>
  <c r="G77" i="11"/>
  <c r="S77" i="11"/>
  <c r="J78" i="11"/>
  <c r="W78" i="11"/>
  <c r="R78" i="11"/>
  <c r="T78" i="11"/>
  <c r="U78" i="11" a="1"/>
  <c r="U78" i="11"/>
  <c r="V78" i="11"/>
  <c r="C78" i="11"/>
  <c r="E78" i="11"/>
  <c r="F78" i="11"/>
  <c r="G78" i="11"/>
  <c r="I78" i="11"/>
  <c r="H78" i="11" a="1"/>
  <c r="H78" i="11"/>
  <c r="P78" i="11"/>
  <c r="D78" i="11"/>
  <c r="S78" i="11"/>
  <c r="Q78" i="11"/>
  <c r="G79" i="11"/>
  <c r="E79" i="11"/>
  <c r="T79" i="11"/>
  <c r="H79" i="11" a="1"/>
  <c r="H79" i="11"/>
  <c r="V79" i="11"/>
  <c r="F79" i="11"/>
  <c r="D79" i="11"/>
  <c r="P79" i="11"/>
  <c r="J79" i="11"/>
  <c r="U79" i="11" a="1"/>
  <c r="U79" i="11"/>
  <c r="R79" i="11"/>
  <c r="W79" i="11"/>
  <c r="C79" i="11"/>
  <c r="S79" i="11"/>
  <c r="I79" i="11"/>
  <c r="Q79" i="11"/>
  <c r="Q80" i="11"/>
  <c r="P80" i="11"/>
  <c r="U80" i="11" a="1"/>
  <c r="U80" i="11"/>
  <c r="T80" i="11"/>
  <c r="D80" i="11"/>
  <c r="V80" i="11"/>
  <c r="W80" i="11"/>
  <c r="F80" i="11"/>
  <c r="R80" i="11"/>
  <c r="I80" i="11"/>
  <c r="H80" i="11" a="1"/>
  <c r="H80" i="11"/>
  <c r="G80" i="11"/>
  <c r="E80" i="11"/>
  <c r="C80" i="11"/>
  <c r="S80" i="11"/>
  <c r="J80" i="11"/>
  <c r="T81" i="11"/>
  <c r="G81" i="11"/>
  <c r="Q81" i="11"/>
  <c r="J81" i="11"/>
  <c r="I81" i="11"/>
  <c r="R81" i="11"/>
  <c r="P81" i="11"/>
  <c r="V81" i="11"/>
  <c r="W81" i="11"/>
  <c r="D81" i="11"/>
  <c r="F81" i="11"/>
  <c r="U81" i="11" a="1"/>
  <c r="U81" i="11"/>
  <c r="E81" i="11"/>
  <c r="H81" i="11" a="1"/>
  <c r="H81" i="11"/>
  <c r="S81" i="11"/>
  <c r="C81" i="11"/>
  <c r="U82" i="11" a="1"/>
  <c r="U82" i="11"/>
  <c r="D82" i="11"/>
  <c r="H82" i="11" a="1"/>
  <c r="H82" i="11"/>
  <c r="W82" i="11"/>
  <c r="R82" i="11"/>
  <c r="E82" i="11"/>
  <c r="V82" i="11"/>
  <c r="I82" i="11"/>
  <c r="Q82" i="11"/>
  <c r="P82" i="11"/>
  <c r="C82" i="11"/>
  <c r="S82" i="11"/>
  <c r="J82" i="11"/>
  <c r="F82" i="11"/>
  <c r="T82" i="11"/>
  <c r="G82" i="11"/>
  <c r="R83" i="11"/>
  <c r="J83" i="11"/>
  <c r="W83" i="11"/>
  <c r="E83" i="11"/>
  <c r="I83" i="11"/>
  <c r="F83" i="11"/>
  <c r="H83" i="11" a="1"/>
  <c r="H83" i="11"/>
  <c r="D83" i="11"/>
  <c r="G83" i="11"/>
  <c r="T83" i="11"/>
  <c r="C83" i="11"/>
  <c r="P83" i="11"/>
  <c r="U83" i="11" a="1"/>
  <c r="U83" i="11"/>
  <c r="Q83" i="11"/>
  <c r="V83" i="11"/>
  <c r="S83" i="11"/>
  <c r="E84" i="11"/>
  <c r="Q84" i="11"/>
  <c r="I84" i="11"/>
  <c r="R84" i="11"/>
  <c r="S84" i="11"/>
  <c r="W84" i="11"/>
  <c r="J84" i="11"/>
  <c r="V84" i="11"/>
  <c r="P84" i="11"/>
  <c r="T84" i="11"/>
  <c r="U84" i="11" a="1"/>
  <c r="U84" i="11"/>
  <c r="D84" i="11"/>
  <c r="F84" i="11"/>
  <c r="G84" i="11"/>
  <c r="C84" i="11"/>
  <c r="H84" i="11" a="1"/>
  <c r="H84" i="11"/>
  <c r="E85" i="11"/>
  <c r="U85" i="11" a="1"/>
  <c r="U85" i="11"/>
  <c r="T85" i="11"/>
  <c r="W85" i="11"/>
  <c r="C85" i="11"/>
  <c r="S85" i="11"/>
  <c r="G85" i="11"/>
  <c r="H85" i="11" a="1"/>
  <c r="H85" i="11"/>
  <c r="P85" i="11"/>
  <c r="J85" i="11"/>
  <c r="V85" i="11"/>
  <c r="F85" i="11"/>
  <c r="R85" i="11"/>
  <c r="I85" i="11"/>
  <c r="Q85" i="11"/>
  <c r="D85" i="11"/>
  <c r="I86" i="11"/>
  <c r="W86" i="11"/>
  <c r="U86" i="11" a="1"/>
  <c r="U86" i="11"/>
  <c r="G86" i="11"/>
  <c r="C86" i="11"/>
  <c r="P86" i="11"/>
  <c r="T86" i="11"/>
  <c r="J86" i="11"/>
  <c r="S86" i="11"/>
  <c r="R86" i="11"/>
  <c r="Q86" i="11"/>
  <c r="E86" i="11"/>
  <c r="D86" i="11"/>
  <c r="F86" i="11"/>
  <c r="H86" i="11" a="1"/>
  <c r="H86" i="11"/>
  <c r="V86" i="11"/>
  <c r="H87" i="11" a="1"/>
  <c r="H87" i="11"/>
  <c r="R87" i="11"/>
  <c r="J87" i="11"/>
  <c r="S87" i="11"/>
  <c r="I87" i="11"/>
  <c r="G87" i="11"/>
  <c r="E87" i="11"/>
  <c r="T87" i="11"/>
  <c r="U87" i="11" a="1"/>
  <c r="U87" i="11"/>
  <c r="P87" i="11"/>
  <c r="Q87" i="11"/>
  <c r="F87" i="11"/>
  <c r="V87" i="11"/>
  <c r="W87" i="11"/>
  <c r="C87" i="11"/>
  <c r="D87" i="11"/>
  <c r="S88" i="11"/>
  <c r="E88" i="11"/>
  <c r="R88" i="11"/>
  <c r="D88" i="11"/>
  <c r="T88" i="11"/>
  <c r="C88" i="11"/>
  <c r="H88" i="11" a="1"/>
  <c r="H88" i="11"/>
  <c r="W88" i="11"/>
  <c r="F88" i="11"/>
  <c r="P88" i="11"/>
  <c r="I88" i="11"/>
  <c r="U88" i="11" a="1"/>
  <c r="U88" i="11"/>
  <c r="J88" i="11"/>
  <c r="V88" i="11"/>
  <c r="G88" i="11"/>
  <c r="Q88" i="11"/>
  <c r="C89" i="11"/>
  <c r="W89" i="11"/>
  <c r="V89" i="11"/>
  <c r="H89" i="11" a="1"/>
  <c r="H89" i="11"/>
  <c r="E89" i="11"/>
  <c r="T89" i="11"/>
  <c r="P89" i="11"/>
  <c r="U89" i="11" a="1"/>
  <c r="U89" i="11"/>
  <c r="S89" i="11"/>
  <c r="Q89" i="11"/>
  <c r="I89" i="11"/>
  <c r="G89" i="11"/>
  <c r="J89" i="11"/>
  <c r="R89" i="11"/>
  <c r="D89" i="11"/>
  <c r="F89" i="11"/>
  <c r="T90" i="11"/>
  <c r="I90" i="11"/>
  <c r="H90" i="11" a="1"/>
  <c r="H90" i="11"/>
  <c r="F90" i="11"/>
  <c r="P90" i="11"/>
  <c r="S90" i="11"/>
  <c r="Q90" i="11"/>
  <c r="J90" i="11"/>
  <c r="D90" i="11"/>
  <c r="G90" i="11"/>
  <c r="U90" i="11" a="1"/>
  <c r="U90" i="11"/>
  <c r="C90" i="11"/>
  <c r="E90" i="11"/>
  <c r="V90" i="11"/>
  <c r="W90" i="11"/>
  <c r="R90" i="11"/>
  <c r="D8" i="5"/>
  <c r="G28" i="2"/>
  <c r="C40" i="1"/>
  <c r="O3" i="4"/>
  <c r="A68" i="9"/>
  <c r="Q68" i="9"/>
  <c r="A52" i="3"/>
  <c r="L10" i="8"/>
  <c r="A38" i="3"/>
  <c r="P11" i="8"/>
  <c r="A74" i="9"/>
  <c r="G74" i="9"/>
  <c r="A66" i="3"/>
  <c r="A40" i="3"/>
  <c r="A92" i="9"/>
  <c r="N92" i="9"/>
  <c r="S6" i="9"/>
  <c r="A67" i="8"/>
  <c r="G67" i="8"/>
  <c r="N6" i="8"/>
  <c r="A25" i="3"/>
  <c r="B3" i="4"/>
  <c r="A103" i="3"/>
  <c r="Q103" i="3"/>
  <c r="P10" i="9"/>
  <c r="N11" i="9"/>
  <c r="A26" i="9"/>
  <c r="N26" i="9"/>
  <c r="A56" i="3"/>
  <c r="C7" i="8"/>
  <c r="A58" i="8"/>
  <c r="N58" i="8"/>
  <c r="P12" i="8"/>
  <c r="L5" i="3"/>
  <c r="P4" i="8"/>
  <c r="A24" i="9"/>
  <c r="Q24" i="9"/>
  <c r="S4" i="3"/>
  <c r="A37" i="9"/>
  <c r="J37" i="9"/>
  <c r="C10" i="8"/>
  <c r="A93" i="9"/>
  <c r="Q93" i="9"/>
  <c r="A65" i="8"/>
  <c r="T65" i="8"/>
  <c r="A43" i="8"/>
  <c r="J43" i="8"/>
  <c r="A40" i="8"/>
  <c r="J40" i="8"/>
  <c r="C6" i="9"/>
  <c r="A35" i="8"/>
  <c r="G35" i="8"/>
  <c r="N10" i="9"/>
  <c r="C10" i="3"/>
  <c r="L11" i="8"/>
  <c r="A26" i="3"/>
  <c r="A61" i="3"/>
  <c r="L12" i="8"/>
  <c r="A76" i="3"/>
  <c r="T76" i="3"/>
  <c r="P11" i="9"/>
  <c r="V7" i="8"/>
  <c r="A72" i="8"/>
  <c r="Q72" i="8"/>
  <c r="A46" i="9"/>
  <c r="J46" i="9"/>
  <c r="A76" i="8"/>
  <c r="T76" i="8"/>
  <c r="P5" i="3"/>
  <c r="A98" i="9"/>
  <c r="N98" i="9"/>
  <c r="A74" i="3"/>
  <c r="T74" i="3"/>
  <c r="S7" i="3"/>
  <c r="A43" i="3"/>
  <c r="V9" i="3"/>
  <c r="A80" i="3"/>
  <c r="T80" i="3"/>
  <c r="C11" i="3"/>
  <c r="S9" i="8"/>
  <c r="V4" i="8"/>
  <c r="V9" i="8"/>
  <c r="S11" i="9"/>
  <c r="C4" i="9"/>
  <c r="C11" i="9"/>
  <c r="A32" i="9"/>
  <c r="Q32" i="9"/>
  <c r="A62" i="8"/>
  <c r="T62" i="8"/>
  <c r="A27" i="8"/>
  <c r="G27" i="8"/>
  <c r="P6" i="8"/>
  <c r="C11" i="8"/>
  <c r="A80" i="9"/>
  <c r="Q80" i="9"/>
  <c r="A56" i="9"/>
  <c r="Q56" i="9"/>
  <c r="V11" i="9"/>
  <c r="S4" i="9"/>
  <c r="A46" i="8"/>
  <c r="A44" i="3"/>
  <c r="A102" i="8"/>
  <c r="N102" i="8"/>
  <c r="A81" i="8"/>
  <c r="J81" i="8"/>
  <c r="S9" i="9"/>
  <c r="A92" i="3"/>
  <c r="G92" i="3"/>
  <c r="V6" i="9"/>
  <c r="A58" i="3"/>
  <c r="L11" i="3"/>
  <c r="P6" i="9"/>
  <c r="A35" i="9"/>
  <c r="T35" i="9"/>
  <c r="N8" i="9"/>
  <c r="C12" i="9"/>
  <c r="P7" i="3"/>
  <c r="S12" i="9"/>
  <c r="L5" i="8"/>
  <c r="A88" i="9"/>
  <c r="J88" i="9"/>
  <c r="V10" i="8"/>
  <c r="C10" i="9"/>
  <c r="A37" i="8"/>
  <c r="Q37" i="8"/>
  <c r="P10" i="3"/>
  <c r="C9" i="3"/>
  <c r="V10" i="9"/>
  <c r="A47" i="8"/>
  <c r="T47" i="8"/>
  <c r="A77" i="9"/>
  <c r="G77" i="9"/>
  <c r="C8" i="9"/>
  <c r="A51" i="3"/>
  <c r="P10" i="8"/>
  <c r="A75" i="9"/>
  <c r="J75" i="9"/>
  <c r="V12" i="9"/>
  <c r="A103" i="9"/>
  <c r="G103" i="9"/>
  <c r="A24" i="8"/>
  <c r="G24" i="8"/>
  <c r="N8" i="3"/>
  <c r="L7" i="8"/>
  <c r="A70" i="3"/>
  <c r="A79" i="3"/>
  <c r="T79" i="3"/>
  <c r="N12" i="9"/>
  <c r="A91" i="9"/>
  <c r="A37" i="3"/>
  <c r="V7" i="9"/>
  <c r="A33" i="3"/>
  <c r="A87" i="8"/>
  <c r="G87" i="8"/>
  <c r="C5" i="9"/>
  <c r="A94" i="3"/>
  <c r="N94" i="3"/>
  <c r="P8" i="9"/>
  <c r="V9" i="9"/>
  <c r="A44" i="9"/>
  <c r="T44" i="9"/>
  <c r="A88" i="3"/>
  <c r="G88" i="3"/>
  <c r="N12" i="8"/>
  <c r="V4" i="3"/>
  <c r="A86" i="9"/>
  <c r="N86" i="9"/>
  <c r="A86" i="8"/>
  <c r="J86" i="8"/>
  <c r="A61" i="8"/>
  <c r="J61" i="8"/>
  <c r="A93" i="8"/>
  <c r="N93" i="8"/>
  <c r="V4" i="9"/>
  <c r="P7" i="9"/>
  <c r="V8" i="8"/>
  <c r="V8" i="3"/>
  <c r="C6" i="8"/>
  <c r="P9" i="8"/>
  <c r="N7" i="8"/>
  <c r="A33" i="9"/>
  <c r="Q33" i="9"/>
  <c r="A54" i="8"/>
  <c r="G54" i="8"/>
  <c r="N5" i="9"/>
  <c r="P7" i="8"/>
  <c r="S8" i="9"/>
  <c r="A34" i="3"/>
  <c r="N4" i="9"/>
  <c r="H9" i="1"/>
  <c r="A38" i="9"/>
  <c r="N38" i="9"/>
  <c r="S10" i="8"/>
  <c r="A50" i="8"/>
  <c r="J50" i="8"/>
  <c r="N11" i="3"/>
  <c r="A80" i="8"/>
  <c r="N80" i="8"/>
  <c r="L7" i="3"/>
  <c r="A30" i="3"/>
  <c r="N8" i="8"/>
  <c r="A94" i="8"/>
  <c r="G94" i="8"/>
  <c r="P5" i="8"/>
  <c r="A28" i="8"/>
  <c r="G28" i="8"/>
  <c r="A59" i="8"/>
  <c r="T59" i="8"/>
  <c r="A50" i="3"/>
  <c r="A66" i="8"/>
  <c r="J66" i="8"/>
  <c r="A78" i="3"/>
  <c r="T78" i="3"/>
  <c r="A94" i="9"/>
  <c r="J94" i="9"/>
  <c r="A71" i="9"/>
  <c r="N71" i="9"/>
  <c r="A83" i="9"/>
  <c r="J83" i="9"/>
  <c r="J68" i="9"/>
  <c r="A57" i="3"/>
  <c r="A23" i="3"/>
  <c r="S6" i="3"/>
  <c r="V5" i="3"/>
  <c r="N7" i="9"/>
  <c r="A58" i="9"/>
  <c r="G58" i="9"/>
  <c r="N7" i="3"/>
  <c r="A46" i="3"/>
  <c r="A96" i="8"/>
  <c r="G96" i="8"/>
  <c r="A25" i="8"/>
  <c r="Q25" i="8"/>
  <c r="A39" i="9"/>
  <c r="N39" i="9"/>
  <c r="C8" i="3"/>
  <c r="A56" i="8"/>
  <c r="N56" i="8"/>
  <c r="A102" i="3"/>
  <c r="Q102" i="3"/>
  <c r="A103" i="8"/>
  <c r="Q103" i="8"/>
  <c r="C5" i="3"/>
  <c r="L9" i="3"/>
  <c r="A84" i="8"/>
  <c r="Q84" i="8"/>
  <c r="A41" i="3"/>
  <c r="A29" i="8"/>
  <c r="Q29" i="8"/>
  <c r="A39" i="3"/>
  <c r="L7" i="9"/>
  <c r="P4" i="3"/>
  <c r="A27" i="9"/>
  <c r="G27" i="9"/>
  <c r="A27" i="3"/>
  <c r="A85" i="3"/>
  <c r="T85" i="3"/>
  <c r="N12" i="3"/>
  <c r="A68" i="8"/>
  <c r="T68" i="8"/>
  <c r="V11" i="8"/>
  <c r="A39" i="8"/>
  <c r="T39" i="8"/>
  <c r="P9" i="3"/>
  <c r="A64" i="3"/>
  <c r="A79" i="9"/>
  <c r="Q79" i="9"/>
  <c r="A68" i="3"/>
  <c r="V10" i="3"/>
  <c r="N5" i="8"/>
  <c r="A59" i="3"/>
  <c r="A52" i="9"/>
  <c r="Q52" i="9"/>
  <c r="N4" i="8"/>
  <c r="N10" i="3"/>
  <c r="V8" i="9"/>
  <c r="A85" i="9"/>
  <c r="J85" i="9"/>
  <c r="A60" i="8"/>
  <c r="G60" i="8"/>
  <c r="A82" i="3"/>
  <c r="N82" i="3"/>
  <c r="A61" i="9"/>
  <c r="N61" i="9"/>
  <c r="A49" i="9"/>
  <c r="Q49" i="9"/>
  <c r="A100" i="3"/>
  <c r="Q100" i="3"/>
  <c r="A53" i="9"/>
  <c r="T53" i="9"/>
  <c r="C4" i="3"/>
  <c r="N11" i="8"/>
  <c r="A66" i="9"/>
  <c r="N66" i="9"/>
  <c r="N6" i="9"/>
  <c r="L11" i="9"/>
  <c r="A69" i="3"/>
  <c r="Q69" i="3"/>
  <c r="A48" i="8"/>
  <c r="N4" i="3"/>
  <c r="A49" i="8"/>
  <c r="G49" i="8"/>
  <c r="S8" i="3"/>
  <c r="A67" i="3"/>
  <c r="L4" i="9"/>
  <c r="A47" i="9"/>
  <c r="N47" i="9"/>
  <c r="A53" i="8"/>
  <c r="A97" i="8"/>
  <c r="G97" i="8"/>
  <c r="L4" i="8"/>
  <c r="A77" i="8"/>
  <c r="J77" i="8"/>
  <c r="L10" i="9"/>
  <c r="A60" i="3"/>
  <c r="P12" i="9"/>
  <c r="A71" i="8"/>
  <c r="G71" i="8"/>
  <c r="S11" i="8"/>
  <c r="A54" i="9"/>
  <c r="G54" i="9"/>
  <c r="N9" i="3"/>
  <c r="A57" i="9"/>
  <c r="G57" i="9"/>
  <c r="N9" i="8"/>
  <c r="S7" i="9"/>
  <c r="A84" i="9"/>
  <c r="Q84" i="9"/>
  <c r="A62" i="3"/>
  <c r="C6" i="3"/>
  <c r="P4" i="9"/>
  <c r="A33" i="8"/>
  <c r="Q33" i="8"/>
  <c r="A41" i="8"/>
  <c r="T41" i="8"/>
  <c r="V6" i="3"/>
  <c r="A91" i="8"/>
  <c r="G91" i="8"/>
  <c r="L12" i="9"/>
  <c r="L9" i="8"/>
  <c r="C9" i="8"/>
  <c r="A73" i="8"/>
  <c r="A32" i="8"/>
  <c r="Q32" i="8"/>
  <c r="A95" i="9"/>
  <c r="T95" i="9"/>
  <c r="V11" i="3"/>
  <c r="A98" i="8"/>
  <c r="A28" i="3"/>
  <c r="L10" i="3"/>
  <c r="A34" i="8"/>
  <c r="Q34" i="8"/>
  <c r="A76" i="9"/>
  <c r="Q76" i="9"/>
  <c r="L8" i="8"/>
  <c r="V5" i="8"/>
  <c r="P11" i="3"/>
  <c r="S10" i="3"/>
  <c r="A92" i="8"/>
  <c r="Q92" i="8"/>
  <c r="A45" i="8"/>
  <c r="N45" i="8"/>
  <c r="S6" i="8"/>
  <c r="S5" i="8"/>
  <c r="A83" i="8"/>
  <c r="N83" i="8"/>
  <c r="P6" i="3"/>
  <c r="A64" i="9"/>
  <c r="T64" i="9"/>
  <c r="A30" i="8"/>
  <c r="Q30" i="8"/>
  <c r="S12" i="8"/>
  <c r="A32" i="3"/>
  <c r="A73" i="3"/>
  <c r="Q73" i="3"/>
  <c r="A70" i="8"/>
  <c r="N70" i="8"/>
  <c r="L6" i="3"/>
  <c r="P8" i="8"/>
  <c r="A96" i="9"/>
  <c r="Q96" i="9"/>
  <c r="A28" i="9"/>
  <c r="J28" i="9"/>
  <c r="A98" i="3"/>
  <c r="Q98" i="3"/>
  <c r="A96" i="3"/>
  <c r="G96" i="3"/>
  <c r="A51" i="9"/>
  <c r="J51" i="9"/>
  <c r="A82" i="8"/>
  <c r="Q82" i="8"/>
  <c r="A45" i="9"/>
  <c r="A49" i="3"/>
  <c r="A41" i="9"/>
  <c r="N41" i="9"/>
  <c r="A50" i="9"/>
  <c r="G50" i="9"/>
  <c r="A69" i="8"/>
  <c r="S10" i="9"/>
  <c r="L9" i="9"/>
  <c r="N10" i="8"/>
  <c r="A97" i="9"/>
  <c r="N97" i="9"/>
  <c r="A35" i="3"/>
  <c r="A48" i="3"/>
  <c r="A90" i="3"/>
  <c r="N90" i="3"/>
  <c r="A75" i="8"/>
  <c r="T75" i="8"/>
  <c r="A99" i="8"/>
  <c r="A88" i="8"/>
  <c r="A77" i="3"/>
  <c r="J77" i="3"/>
  <c r="A73" i="9"/>
  <c r="Q73" i="9"/>
  <c r="V12" i="8"/>
  <c r="A67" i="9"/>
  <c r="N67" i="9"/>
  <c r="A63" i="3"/>
  <c r="A102" i="9"/>
  <c r="J102" i="9"/>
  <c r="A86" i="3"/>
  <c r="G86" i="3"/>
  <c r="A93" i="3"/>
  <c r="N93" i="3"/>
  <c r="N9" i="9"/>
  <c r="A29" i="9"/>
  <c r="N29" i="9"/>
  <c r="A60" i="9"/>
  <c r="T60" i="9"/>
  <c r="A63" i="8"/>
  <c r="Q63" i="8"/>
  <c r="A48" i="9"/>
  <c r="C9" i="9"/>
  <c r="A87" i="9"/>
  <c r="G87" i="9"/>
  <c r="A65" i="3"/>
  <c r="L6" i="8"/>
  <c r="C8" i="8"/>
  <c r="A85" i="8"/>
  <c r="A89" i="3"/>
  <c r="N89" i="3"/>
  <c r="A59" i="9"/>
  <c r="T59" i="9"/>
  <c r="A100" i="8"/>
  <c r="J100" i="8"/>
  <c r="A36" i="3"/>
  <c r="S9" i="3"/>
  <c r="A69" i="9"/>
  <c r="N69" i="9"/>
  <c r="A87" i="3"/>
  <c r="G87" i="3"/>
  <c r="C5" i="8"/>
  <c r="A97" i="3"/>
  <c r="G97" i="3"/>
  <c r="A26" i="8"/>
  <c r="Q26" i="8"/>
  <c r="A99" i="9"/>
  <c r="T99" i="9"/>
  <c r="A71" i="3"/>
  <c r="A44" i="8"/>
  <c r="Q44" i="8"/>
  <c r="A42" i="9"/>
  <c r="N42" i="9"/>
  <c r="A31" i="9"/>
  <c r="N31" i="9"/>
  <c r="A101" i="3"/>
  <c r="J101" i="3"/>
  <c r="V12" i="3"/>
  <c r="A72" i="9"/>
  <c r="A90" i="8"/>
  <c r="A99" i="3"/>
  <c r="N99" i="3"/>
  <c r="A29" i="3"/>
  <c r="A54" i="3"/>
  <c r="A47" i="3"/>
  <c r="A101" i="9"/>
  <c r="A31" i="8"/>
  <c r="G31" i="8"/>
  <c r="A81" i="9"/>
  <c r="J81" i="9"/>
  <c r="S7" i="8"/>
  <c r="L8" i="3"/>
  <c r="A95" i="8"/>
  <c r="T95" i="8"/>
  <c r="A62" i="9"/>
  <c r="G62" i="9"/>
  <c r="S5" i="3"/>
  <c r="S5" i="9"/>
  <c r="S4" i="8"/>
  <c r="S12" i="3"/>
  <c r="A55" i="9"/>
  <c r="Q55" i="9"/>
  <c r="V6" i="8"/>
  <c r="A45" i="3"/>
  <c r="A90" i="9"/>
  <c r="Q90" i="9"/>
  <c r="V5" i="9"/>
  <c r="P8" i="3"/>
  <c r="A38" i="8"/>
  <c r="G38" i="8"/>
  <c r="A89" i="8"/>
  <c r="J89" i="8"/>
  <c r="A100" i="9"/>
  <c r="T100" i="9"/>
  <c r="A36" i="8"/>
  <c r="C4" i="8"/>
  <c r="A52" i="8"/>
  <c r="A64" i="8"/>
  <c r="G64" i="8"/>
  <c r="L4" i="3"/>
  <c r="P12" i="3"/>
  <c r="A78" i="9"/>
  <c r="L5" i="9"/>
  <c r="C7" i="3"/>
  <c r="L6" i="9"/>
  <c r="A75" i="3"/>
  <c r="G75" i="3"/>
  <c r="A55" i="3"/>
  <c r="A70" i="9"/>
  <c r="T70" i="9"/>
  <c r="A43" i="9"/>
  <c r="N43" i="9"/>
  <c r="C12" i="3"/>
  <c r="N6" i="3"/>
  <c r="S11" i="3"/>
  <c r="A51" i="8"/>
  <c r="A24" i="3"/>
  <c r="A31" i="3"/>
  <c r="A84" i="3"/>
  <c r="N84" i="3"/>
  <c r="A78" i="8"/>
  <c r="Q78" i="8"/>
  <c r="A30" i="9"/>
  <c r="T30" i="9"/>
  <c r="A57" i="8"/>
  <c r="Q57" i="8"/>
  <c r="A89" i="9"/>
  <c r="G89" i="9"/>
  <c r="A23" i="9"/>
  <c r="G23" i="9"/>
  <c r="A55" i="8"/>
  <c r="J55" i="8"/>
  <c r="A72" i="3"/>
  <c r="Q72" i="3"/>
  <c r="C7" i="9"/>
  <c r="N5" i="3"/>
  <c r="A36" i="9"/>
  <c r="T36" i="9"/>
  <c r="A53" i="3"/>
  <c r="C12" i="8"/>
  <c r="V7" i="3"/>
  <c r="A63" i="9"/>
  <c r="N63" i="9"/>
  <c r="L12" i="3"/>
  <c r="A74" i="8"/>
  <c r="G74" i="8"/>
  <c r="A95" i="3"/>
  <c r="T95" i="3"/>
  <c r="A101" i="8"/>
  <c r="A34" i="9"/>
  <c r="Q34" i="9"/>
  <c r="A65" i="9"/>
  <c r="A81" i="3"/>
  <c r="A25" i="9"/>
  <c r="N25" i="9"/>
  <c r="P9" i="9"/>
  <c r="P5" i="9"/>
  <c r="A82" i="9"/>
  <c r="G82" i="9"/>
  <c r="A42" i="3"/>
  <c r="A79" i="8"/>
  <c r="A83" i="3"/>
  <c r="A42" i="8"/>
  <c r="A40" i="9"/>
  <c r="S8" i="8"/>
  <c r="L8" i="9"/>
  <c r="A91" i="3"/>
  <c r="G91" i="3"/>
  <c r="O3" i="10"/>
  <c r="O3" i="11"/>
  <c r="A23" i="8"/>
  <c r="B3" i="11"/>
  <c r="O4" i="11"/>
  <c r="O14" i="11"/>
  <c r="O26" i="11"/>
  <c r="O38" i="11"/>
  <c r="O50" i="11"/>
  <c r="O62" i="11"/>
  <c r="O74" i="11"/>
  <c r="O86" i="11"/>
  <c r="O15" i="11"/>
  <c r="O27" i="11"/>
  <c r="O39" i="11"/>
  <c r="O51" i="11"/>
  <c r="O63" i="11"/>
  <c r="O75" i="11"/>
  <c r="O87" i="11"/>
  <c r="O89" i="11"/>
  <c r="O18" i="11"/>
  <c r="O42" i="11"/>
  <c r="O66" i="11"/>
  <c r="O90" i="11"/>
  <c r="O19" i="11"/>
  <c r="O31" i="11"/>
  <c r="O55" i="11"/>
  <c r="O79" i="11"/>
  <c r="O20" i="11"/>
  <c r="O44" i="11"/>
  <c r="O68" i="11"/>
  <c r="O9" i="11"/>
  <c r="O33" i="11"/>
  <c r="O57" i="11"/>
  <c r="O81" i="11"/>
  <c r="O10" i="11"/>
  <c r="O34" i="11"/>
  <c r="O70" i="11"/>
  <c r="O82" i="11"/>
  <c r="O11" i="11"/>
  <c r="O47" i="11"/>
  <c r="O71" i="11"/>
  <c r="O12" i="11"/>
  <c r="O36" i="11"/>
  <c r="O48" i="11"/>
  <c r="O72" i="11"/>
  <c r="O13" i="11"/>
  <c r="O37" i="11"/>
  <c r="O61" i="11"/>
  <c r="O85" i="11"/>
  <c r="O16" i="11"/>
  <c r="O28" i="11"/>
  <c r="O40" i="11"/>
  <c r="O52" i="11"/>
  <c r="O64" i="11"/>
  <c r="O76" i="11"/>
  <c r="O88" i="11"/>
  <c r="O5" i="11"/>
  <c r="O17" i="11"/>
  <c r="O29" i="11"/>
  <c r="O41" i="11"/>
  <c r="O53" i="11"/>
  <c r="O65" i="11"/>
  <c r="O77" i="11"/>
  <c r="O6" i="11"/>
  <c r="O30" i="11"/>
  <c r="O54" i="11"/>
  <c r="O78" i="11"/>
  <c r="O7" i="11"/>
  <c r="O43" i="11"/>
  <c r="O67" i="11"/>
  <c r="O8" i="11"/>
  <c r="O32" i="11"/>
  <c r="O56" i="11"/>
  <c r="O80" i="11"/>
  <c r="O21" i="11"/>
  <c r="O45" i="11"/>
  <c r="O69" i="11"/>
  <c r="O22" i="11"/>
  <c r="O46" i="11"/>
  <c r="O58" i="11"/>
  <c r="O23" i="11"/>
  <c r="O35" i="11"/>
  <c r="O59" i="11"/>
  <c r="O83" i="11"/>
  <c r="O24" i="11"/>
  <c r="O60" i="11"/>
  <c r="O84" i="11"/>
  <c r="O25" i="11"/>
  <c r="O49" i="11"/>
  <c r="O73" i="11"/>
  <c r="B4" i="11"/>
  <c r="B9" i="11"/>
  <c r="B21" i="11"/>
  <c r="B33" i="11"/>
  <c r="B45" i="11"/>
  <c r="B57" i="11"/>
  <c r="B69" i="11"/>
  <c r="B81" i="11"/>
  <c r="B10" i="11"/>
  <c r="B22" i="11"/>
  <c r="B34" i="11"/>
  <c r="B46" i="11"/>
  <c r="B58" i="11"/>
  <c r="B70" i="11"/>
  <c r="B82" i="11"/>
  <c r="B11" i="11"/>
  <c r="B23" i="11"/>
  <c r="B35" i="11"/>
  <c r="B47" i="11"/>
  <c r="B59" i="11"/>
  <c r="B71" i="11"/>
  <c r="B83" i="11"/>
  <c r="B84" i="11"/>
  <c r="B13" i="11"/>
  <c r="B49" i="11"/>
  <c r="B85" i="11"/>
  <c r="B63" i="11"/>
  <c r="B28" i="11"/>
  <c r="B76" i="11"/>
  <c r="B17" i="11"/>
  <c r="B65" i="11"/>
  <c r="B6" i="11"/>
  <c r="B54" i="11"/>
  <c r="B19" i="11"/>
  <c r="B67" i="11"/>
  <c r="B20" i="11"/>
  <c r="B44" i="11"/>
  <c r="B80" i="11"/>
  <c r="B12" i="11"/>
  <c r="B24" i="11"/>
  <c r="B36" i="11"/>
  <c r="B48" i="11"/>
  <c r="B60" i="11"/>
  <c r="B72" i="11"/>
  <c r="B25" i="11"/>
  <c r="B37" i="11"/>
  <c r="B61" i="11"/>
  <c r="B73" i="11"/>
  <c r="B51" i="11"/>
  <c r="B87" i="11"/>
  <c r="B16" i="11"/>
  <c r="B52" i="11"/>
  <c r="B88" i="11"/>
  <c r="B29" i="11"/>
  <c r="B53" i="11"/>
  <c r="B89" i="11"/>
  <c r="B30" i="11"/>
  <c r="B66" i="11"/>
  <c r="B90" i="11"/>
  <c r="B7" i="11"/>
  <c r="B43" i="11"/>
  <c r="B8" i="11"/>
  <c r="B56" i="11"/>
  <c r="B14" i="11"/>
  <c r="B26" i="11"/>
  <c r="B38" i="11"/>
  <c r="B50" i="11"/>
  <c r="B62" i="11"/>
  <c r="B74" i="11"/>
  <c r="B86" i="11"/>
  <c r="B15" i="11"/>
  <c r="B27" i="11"/>
  <c r="B39" i="11"/>
  <c r="B75" i="11"/>
  <c r="B40" i="11"/>
  <c r="B64" i="11"/>
  <c r="B5" i="11"/>
  <c r="B41" i="11"/>
  <c r="B77" i="11"/>
  <c r="B18" i="11"/>
  <c r="B42" i="11"/>
  <c r="B78" i="11"/>
  <c r="B31" i="11"/>
  <c r="B55" i="11"/>
  <c r="B79" i="11"/>
  <c r="B32" i="11"/>
  <c r="B68" i="11"/>
  <c r="O23" i="10"/>
  <c r="O35" i="10"/>
  <c r="O47" i="10"/>
  <c r="O59" i="10"/>
  <c r="O71" i="10"/>
  <c r="O83" i="10"/>
  <c r="O24" i="10"/>
  <c r="O36" i="10"/>
  <c r="O48" i="10"/>
  <c r="O60" i="10"/>
  <c r="O72" i="10"/>
  <c r="O84" i="10"/>
  <c r="O65" i="10"/>
  <c r="O30" i="10"/>
  <c r="O67" i="10"/>
  <c r="O68" i="10"/>
  <c r="O57" i="10"/>
  <c r="O25" i="10"/>
  <c r="O37" i="10"/>
  <c r="O49" i="10"/>
  <c r="O61" i="10"/>
  <c r="O73" i="10"/>
  <c r="O85" i="10"/>
  <c r="O39" i="10"/>
  <c r="O75" i="10"/>
  <c r="O28" i="10"/>
  <c r="O64" i="10"/>
  <c r="O41" i="10"/>
  <c r="O31" i="10"/>
  <c r="O79" i="10"/>
  <c r="O44" i="10"/>
  <c r="O46" i="10"/>
  <c r="O82" i="10"/>
  <c r="O26" i="10"/>
  <c r="O38" i="10"/>
  <c r="O50" i="10"/>
  <c r="O62" i="10"/>
  <c r="O74" i="10"/>
  <c r="O86" i="10"/>
  <c r="O27" i="10"/>
  <c r="O51" i="10"/>
  <c r="O63" i="10"/>
  <c r="O87" i="10"/>
  <c r="O40" i="10"/>
  <c r="O52" i="10"/>
  <c r="O76" i="10"/>
  <c r="O29" i="10"/>
  <c r="O89" i="10"/>
  <c r="O42" i="10"/>
  <c r="O66" i="10"/>
  <c r="O32" i="10"/>
  <c r="O80" i="10"/>
  <c r="O45" i="10"/>
  <c r="O69" i="10"/>
  <c r="O34" i="10"/>
  <c r="O88" i="10"/>
  <c r="O53" i="10"/>
  <c r="O78" i="10"/>
  <c r="O43" i="10"/>
  <c r="O56" i="10"/>
  <c r="O21" i="10"/>
  <c r="O22" i="10"/>
  <c r="O70" i="10"/>
  <c r="O77" i="10"/>
  <c r="O54" i="10"/>
  <c r="O90" i="10"/>
  <c r="O55" i="10"/>
  <c r="O20" i="10"/>
  <c r="O33" i="10"/>
  <c r="O81" i="10"/>
  <c r="O58" i="10"/>
  <c r="B30" i="10"/>
  <c r="B42" i="10"/>
  <c r="B54" i="10"/>
  <c r="B66" i="10"/>
  <c r="B78" i="10"/>
  <c r="B90" i="10"/>
  <c r="B20" i="10"/>
  <c r="B32" i="10"/>
  <c r="B56" i="10"/>
  <c r="B80" i="10"/>
  <c r="B21" i="10"/>
  <c r="B45" i="10"/>
  <c r="B69" i="10"/>
  <c r="B34" i="10"/>
  <c r="B58" i="10"/>
  <c r="B82" i="10"/>
  <c r="B47" i="10"/>
  <c r="B71" i="10"/>
  <c r="B49" i="10"/>
  <c r="B85" i="10"/>
  <c r="B87" i="10"/>
  <c r="B40" i="10"/>
  <c r="B88" i="10"/>
  <c r="B29" i="10"/>
  <c r="B41" i="10"/>
  <c r="B89" i="10"/>
  <c r="B31" i="10"/>
  <c r="B43" i="10"/>
  <c r="B55" i="10"/>
  <c r="B67" i="10"/>
  <c r="B79" i="10"/>
  <c r="B44" i="10"/>
  <c r="B68" i="10"/>
  <c r="B33" i="10"/>
  <c r="B57" i="10"/>
  <c r="B81" i="10"/>
  <c r="B22" i="10"/>
  <c r="B46" i="10"/>
  <c r="B70" i="10"/>
  <c r="B23" i="10"/>
  <c r="B35" i="10"/>
  <c r="B59" i="10"/>
  <c r="B83" i="10"/>
  <c r="B25" i="10"/>
  <c r="B61" i="10"/>
  <c r="B75" i="10"/>
  <c r="B52" i="10"/>
  <c r="B77" i="10"/>
  <c r="B24" i="10"/>
  <c r="B36" i="10"/>
  <c r="B48" i="10"/>
  <c r="B60" i="10"/>
  <c r="B72" i="10"/>
  <c r="B84" i="10"/>
  <c r="B37" i="10"/>
  <c r="B73" i="10"/>
  <c r="B51" i="10"/>
  <c r="B28" i="10"/>
  <c r="B64" i="10"/>
  <c r="B53" i="10"/>
  <c r="B26" i="10"/>
  <c r="B38" i="10"/>
  <c r="B50" i="10"/>
  <c r="B62" i="10"/>
  <c r="B74" i="10"/>
  <c r="B86" i="10"/>
  <c r="B27" i="10"/>
  <c r="B39" i="10"/>
  <c r="B63" i="10"/>
  <c r="B76" i="10"/>
  <c r="B65" i="10"/>
  <c r="O54" i="4"/>
  <c r="O66" i="4"/>
  <c r="O78" i="4"/>
  <c r="O90" i="4"/>
  <c r="O68" i="4"/>
  <c r="O58" i="4"/>
  <c r="O83" i="4"/>
  <c r="O72" i="4"/>
  <c r="O61" i="4"/>
  <c r="O62" i="4"/>
  <c r="O75" i="4"/>
  <c r="O64" i="4"/>
  <c r="O77" i="4"/>
  <c r="O55" i="4"/>
  <c r="O67" i="4"/>
  <c r="O79" i="4"/>
  <c r="O56" i="4"/>
  <c r="O80" i="4"/>
  <c r="O70" i="4"/>
  <c r="O71" i="4"/>
  <c r="O60" i="4"/>
  <c r="O85" i="4"/>
  <c r="O86" i="4"/>
  <c r="O63" i="4"/>
  <c r="O52" i="4"/>
  <c r="O53" i="4"/>
  <c r="O89" i="4"/>
  <c r="O57" i="4"/>
  <c r="O69" i="4"/>
  <c r="O81" i="4"/>
  <c r="O82" i="4"/>
  <c r="O59" i="4"/>
  <c r="O84" i="4"/>
  <c r="O73" i="4"/>
  <c r="O50" i="4"/>
  <c r="O74" i="4"/>
  <c r="O87" i="4"/>
  <c r="O88" i="4"/>
  <c r="O65" i="4"/>
  <c r="O76" i="4"/>
  <c r="O51" i="4"/>
  <c r="B51" i="4" a="1"/>
  <c r="B51" i="4"/>
  <c r="B57" i="4" a="1"/>
  <c r="B57" i="4"/>
  <c r="B63" i="4" a="1"/>
  <c r="B63" i="4"/>
  <c r="B69" i="4" a="1"/>
  <c r="B69" i="4"/>
  <c r="B75" i="4" a="1"/>
  <c r="B75" i="4"/>
  <c r="B81" i="4" a="1"/>
  <c r="B81" i="4"/>
  <c r="B87" i="4" a="1"/>
  <c r="B87" i="4"/>
  <c r="B59" i="4" a="1"/>
  <c r="B59" i="4"/>
  <c r="B71" i="4" a="1"/>
  <c r="B71" i="4"/>
  <c r="B83" i="4" a="1"/>
  <c r="B83" i="4"/>
  <c r="B60" i="4" a="1"/>
  <c r="B60" i="4"/>
  <c r="B72" i="4" a="1"/>
  <c r="B72" i="4"/>
  <c r="B84" i="4" a="1"/>
  <c r="B84" i="4"/>
  <c r="B61" i="4" a="1"/>
  <c r="B61" i="4"/>
  <c r="B73" i="4" a="1"/>
  <c r="B73" i="4"/>
  <c r="B85" i="4" a="1"/>
  <c r="B85" i="4"/>
  <c r="B50" i="4" a="1"/>
  <c r="B50" i="4"/>
  <c r="B62" i="4" a="1"/>
  <c r="B62" i="4"/>
  <c r="B52" i="4" a="1"/>
  <c r="B52" i="4"/>
  <c r="B58" i="4" a="1"/>
  <c r="B58" i="4"/>
  <c r="B64" i="4" a="1"/>
  <c r="B64" i="4"/>
  <c r="B70" i="4" a="1"/>
  <c r="B70" i="4"/>
  <c r="B76" i="4" a="1"/>
  <c r="B76" i="4"/>
  <c r="B82" i="4" a="1"/>
  <c r="B82" i="4"/>
  <c r="B88" i="4" a="1"/>
  <c r="B88" i="4"/>
  <c r="B53" i="4" a="1"/>
  <c r="B53" i="4"/>
  <c r="B65" i="4" a="1"/>
  <c r="B65" i="4"/>
  <c r="B77" i="4" a="1"/>
  <c r="B77" i="4"/>
  <c r="B89" i="4" a="1"/>
  <c r="B89" i="4"/>
  <c r="B54" i="4" a="1"/>
  <c r="B54" i="4"/>
  <c r="B66" i="4" a="1"/>
  <c r="B66" i="4"/>
  <c r="B78" i="4" a="1"/>
  <c r="B78" i="4"/>
  <c r="B90" i="4" a="1"/>
  <c r="B90" i="4"/>
  <c r="B55" i="4" a="1"/>
  <c r="B55" i="4"/>
  <c r="B67" i="4" a="1"/>
  <c r="B67" i="4"/>
  <c r="B79" i="4" a="1"/>
  <c r="B79" i="4"/>
  <c r="B56" i="4" a="1"/>
  <c r="B56" i="4"/>
  <c r="B68" i="4" a="1"/>
  <c r="B68" i="4"/>
  <c r="B80" i="4" a="1"/>
  <c r="B80" i="4"/>
  <c r="B86" i="4" a="1"/>
  <c r="B86" i="4"/>
  <c r="B74" i="4" a="1"/>
  <c r="B74" i="4"/>
  <c r="N72" i="8"/>
  <c r="G37" i="9"/>
  <c r="T67" i="8"/>
  <c r="G24" i="9"/>
  <c r="T92" i="9"/>
  <c r="N68" i="9"/>
  <c r="G72" i="8"/>
  <c r="J103" i="3"/>
  <c r="G70" i="3"/>
  <c r="T72" i="8"/>
  <c r="Q88" i="9"/>
  <c r="Q71" i="9"/>
  <c r="G102" i="8"/>
  <c r="T37" i="9"/>
  <c r="T103" i="3"/>
  <c r="N103" i="3"/>
  <c r="N43" i="8"/>
  <c r="G34" i="8"/>
  <c r="D45" i="9"/>
  <c r="G33" i="9"/>
  <c r="J96" i="8"/>
  <c r="J62" i="8"/>
  <c r="Q35" i="8"/>
  <c r="Q77" i="9"/>
  <c r="T50" i="9"/>
  <c r="T41" i="9"/>
  <c r="Q62" i="8"/>
  <c r="N57" i="9"/>
  <c r="T80" i="9"/>
  <c r="N76" i="8"/>
  <c r="G74" i="3"/>
  <c r="Q58" i="8"/>
  <c r="G86" i="9"/>
  <c r="Q86" i="9"/>
  <c r="T94" i="8"/>
  <c r="T86" i="9"/>
  <c r="N62" i="8"/>
  <c r="D92" i="9"/>
  <c r="D103" i="3"/>
  <c r="D54" i="9"/>
  <c r="J93" i="8"/>
  <c r="J80" i="9"/>
  <c r="T87" i="8"/>
  <c r="Q28" i="9"/>
  <c r="T82" i="3"/>
  <c r="G103" i="3"/>
  <c r="G39" i="9"/>
  <c r="G99" i="3"/>
  <c r="G84" i="3"/>
  <c r="T32" i="9"/>
  <c r="N64" i="9"/>
  <c r="J79" i="3"/>
  <c r="T103" i="8"/>
  <c r="D66" i="9"/>
  <c r="J66" i="9"/>
  <c r="J74" i="3"/>
  <c r="T62" i="9"/>
  <c r="J32" i="9"/>
  <c r="Q67" i="8"/>
  <c r="G49" i="9"/>
  <c r="N39" i="8"/>
  <c r="G88" i="9"/>
  <c r="G94" i="9"/>
  <c r="T77" i="9"/>
  <c r="G76" i="8"/>
  <c r="N67" i="8"/>
  <c r="J98" i="9"/>
  <c r="G40" i="8"/>
  <c r="Q62" i="9"/>
  <c r="T71" i="9"/>
  <c r="G71" i="9"/>
  <c r="J62" i="9"/>
  <c r="G59" i="8"/>
  <c r="Q80" i="3"/>
  <c r="D88" i="8"/>
  <c r="G46" i="9"/>
  <c r="N32" i="9"/>
  <c r="Q37" i="9"/>
  <c r="J94" i="8"/>
  <c r="Q76" i="8"/>
  <c r="N37" i="9"/>
  <c r="J67" i="8"/>
  <c r="T57" i="9"/>
  <c r="Q53" i="9"/>
  <c r="G75" i="8"/>
  <c r="J56" i="8"/>
  <c r="N45" i="9"/>
  <c r="N79" i="3"/>
  <c r="N81" i="8"/>
  <c r="D54" i="8"/>
  <c r="G79" i="3"/>
  <c r="T96" i="9"/>
  <c r="Q76" i="3"/>
  <c r="T56" i="8"/>
  <c r="Q81" i="9"/>
  <c r="Q96" i="3"/>
  <c r="Q86" i="8"/>
  <c r="N96" i="9"/>
  <c r="J54" i="8"/>
  <c r="G76" i="3"/>
  <c r="T26" i="9"/>
  <c r="Q27" i="8"/>
  <c r="D79" i="3"/>
  <c r="G56" i="8"/>
  <c r="N96" i="3"/>
  <c r="J59" i="8"/>
  <c r="G45" i="9"/>
  <c r="Q93" i="8"/>
  <c r="Q98" i="9"/>
  <c r="Q35" i="9"/>
  <c r="Q103" i="9"/>
  <c r="J103" i="9"/>
  <c r="J80" i="8"/>
  <c r="G81" i="8"/>
  <c r="Q87" i="8"/>
  <c r="T43" i="8"/>
  <c r="Q43" i="8"/>
  <c r="G26" i="9"/>
  <c r="G43" i="8"/>
  <c r="G82" i="8"/>
  <c r="N82" i="8"/>
  <c r="J85" i="3"/>
  <c r="D86" i="9"/>
  <c r="N80" i="9"/>
  <c r="D41" i="9"/>
  <c r="Q89" i="3"/>
  <c r="D94" i="3"/>
  <c r="N84" i="8"/>
  <c r="J49" i="9"/>
  <c r="T38" i="9"/>
  <c r="J84" i="8"/>
  <c r="D73" i="9"/>
  <c r="J92" i="3"/>
  <c r="T66" i="9"/>
  <c r="J26" i="9"/>
  <c r="J72" i="8"/>
  <c r="N49" i="9"/>
  <c r="J82" i="3"/>
  <c r="J83" i="8"/>
  <c r="G51" i="9"/>
  <c r="G66" i="9"/>
  <c r="N60" i="8"/>
  <c r="D103" i="8"/>
  <c r="D72" i="8"/>
  <c r="G83" i="9"/>
  <c r="N65" i="8"/>
  <c r="Q39" i="9"/>
  <c r="D38" i="9"/>
  <c r="G62" i="8"/>
  <c r="Q89" i="8"/>
  <c r="D45" i="8"/>
  <c r="J99" i="3"/>
  <c r="N70" i="9"/>
  <c r="D76" i="9"/>
  <c r="Q49" i="8"/>
  <c r="G98" i="9"/>
  <c r="T61" i="9"/>
  <c r="Q81" i="8"/>
  <c r="T103" i="9"/>
  <c r="J79" i="9"/>
  <c r="D61" i="8"/>
  <c r="G99" i="9"/>
  <c r="J102" i="8"/>
  <c r="J91" i="8"/>
  <c r="J29" i="9"/>
  <c r="J102" i="3"/>
  <c r="G84" i="9"/>
  <c r="J47" i="8"/>
  <c r="D53" i="8"/>
  <c r="Q53" i="8"/>
  <c r="J90" i="3"/>
  <c r="J61" i="9"/>
  <c r="D91" i="8"/>
  <c r="G41" i="8"/>
  <c r="D69" i="9"/>
  <c r="T102" i="8"/>
  <c r="N33" i="9"/>
  <c r="N88" i="3"/>
  <c r="Q66" i="8"/>
  <c r="Q102" i="8"/>
  <c r="G35" i="9"/>
  <c r="N74" i="9"/>
  <c r="N93" i="9"/>
  <c r="D41" i="8"/>
  <c r="T33" i="9"/>
  <c r="Q92" i="3"/>
  <c r="N86" i="8"/>
  <c r="G86" i="8"/>
  <c r="G92" i="9"/>
  <c r="Q94" i="3"/>
  <c r="T39" i="9"/>
  <c r="G80" i="9"/>
  <c r="G37" i="8"/>
  <c r="G65" i="8"/>
  <c r="Q46" i="9"/>
  <c r="Q26" i="9"/>
  <c r="T60" i="8"/>
  <c r="G53" i="8"/>
  <c r="J65" i="8"/>
  <c r="D80" i="9"/>
  <c r="N46" i="9"/>
  <c r="G68" i="9"/>
  <c r="T98" i="9"/>
  <c r="T54" i="9"/>
  <c r="J52" i="9"/>
  <c r="N83" i="9"/>
  <c r="D95" i="8"/>
  <c r="J78" i="3"/>
  <c r="T86" i="8"/>
  <c r="J75" i="8"/>
  <c r="N103" i="9"/>
  <c r="N103" i="8"/>
  <c r="Q70" i="3"/>
  <c r="N59" i="8"/>
  <c r="J60" i="8"/>
  <c r="G103" i="8"/>
  <c r="N85" i="9"/>
  <c r="D98" i="3"/>
  <c r="D86" i="8"/>
  <c r="Q41" i="8"/>
  <c r="T71" i="8"/>
  <c r="D70" i="8"/>
  <c r="Q88" i="3"/>
  <c r="D99" i="8"/>
  <c r="Q71" i="8"/>
  <c r="N56" i="9"/>
  <c r="D50" i="8"/>
  <c r="T46" i="9"/>
  <c r="J33" i="9"/>
  <c r="D47" i="8"/>
  <c r="D85" i="9"/>
  <c r="D88" i="9"/>
  <c r="N52" i="9"/>
  <c r="D95" i="9"/>
  <c r="G68" i="8"/>
  <c r="D75" i="9"/>
  <c r="J77" i="9"/>
  <c r="N75" i="9"/>
  <c r="J87" i="3"/>
  <c r="Q98" i="8"/>
  <c r="T91" i="9"/>
  <c r="D58" i="9"/>
  <c r="N92" i="8"/>
  <c r="T74" i="9"/>
  <c r="J35" i="9"/>
  <c r="Q69" i="8"/>
  <c r="T70" i="8"/>
  <c r="G59" i="9"/>
  <c r="J94" i="3"/>
  <c r="G98" i="8"/>
  <c r="J24" i="9"/>
  <c r="N84" i="9"/>
  <c r="T68" i="9"/>
  <c r="Q95" i="9"/>
  <c r="J70" i="8"/>
  <c r="T100" i="3"/>
  <c r="D39" i="9"/>
  <c r="N89" i="8"/>
  <c r="G73" i="3"/>
  <c r="J56" i="9"/>
  <c r="G67" i="9"/>
  <c r="N51" i="9"/>
  <c r="D93" i="9"/>
  <c r="G32" i="9"/>
  <c r="N91" i="9"/>
  <c r="J58" i="9"/>
  <c r="D99" i="9"/>
  <c r="T49" i="9"/>
  <c r="D57" i="9"/>
  <c r="G92" i="8"/>
  <c r="D49" i="9"/>
  <c r="Q91" i="9"/>
  <c r="G93" i="9"/>
  <c r="T58" i="8"/>
  <c r="T46" i="8"/>
  <c r="D80" i="3"/>
  <c r="N61" i="8"/>
  <c r="G78" i="3"/>
  <c r="D87" i="8"/>
  <c r="G25" i="8"/>
  <c r="G61" i="8"/>
  <c r="G100" i="3"/>
  <c r="G56" i="9"/>
  <c r="J46" i="8"/>
  <c r="Q75" i="9"/>
  <c r="T81" i="8"/>
  <c r="J93" i="9"/>
  <c r="N35" i="9"/>
  <c r="J92" i="9"/>
  <c r="Q92" i="9"/>
  <c r="J65" i="9"/>
  <c r="J100" i="9"/>
  <c r="G76" i="9"/>
  <c r="T92" i="8"/>
  <c r="N88" i="8"/>
  <c r="N94" i="9"/>
  <c r="Q90" i="8"/>
  <c r="D52" i="9"/>
  <c r="G46" i="8"/>
  <c r="Q70" i="8"/>
  <c r="D77" i="9"/>
  <c r="Q85" i="9"/>
  <c r="D47" i="9"/>
  <c r="N46" i="8"/>
  <c r="D51" i="8"/>
  <c r="G38" i="9"/>
  <c r="N80" i="3"/>
  <c r="J87" i="9"/>
  <c r="D23" i="9"/>
  <c r="Q46" i="8"/>
  <c r="T56" i="9"/>
  <c r="J98" i="3"/>
  <c r="N100" i="9"/>
  <c r="D94" i="8"/>
  <c r="N77" i="8"/>
  <c r="G58" i="8"/>
  <c r="T24" i="9"/>
  <c r="G75" i="9"/>
  <c r="N68" i="8"/>
  <c r="T96" i="8"/>
  <c r="T88" i="8"/>
  <c r="Q47" i="9"/>
  <c r="J67" i="9"/>
  <c r="Q58" i="9"/>
  <c r="G85" i="9"/>
  <c r="N96" i="8"/>
  <c r="Q51" i="9"/>
  <c r="J91" i="9"/>
  <c r="Q94" i="8"/>
  <c r="Q83" i="9"/>
  <c r="T88" i="3"/>
  <c r="T50" i="8"/>
  <c r="J74" i="9"/>
  <c r="N50" i="8"/>
  <c r="Q61" i="8"/>
  <c r="N40" i="8"/>
  <c r="N76" i="3"/>
  <c r="T75" i="9"/>
  <c r="N94" i="8"/>
  <c r="Q94" i="9"/>
  <c r="Q50" i="8"/>
  <c r="G50" i="8"/>
  <c r="J88" i="3"/>
  <c r="T93" i="9"/>
  <c r="N77" i="9"/>
  <c r="N47" i="8"/>
  <c r="D33" i="9"/>
  <c r="T40" i="8"/>
  <c r="Q40" i="8"/>
  <c r="T57" i="8"/>
  <c r="Q43" i="9"/>
  <c r="Q99" i="9"/>
  <c r="G69" i="3"/>
  <c r="D44" i="9"/>
  <c r="G43" i="9"/>
  <c r="T102" i="3"/>
  <c r="Q78" i="3"/>
  <c r="J99" i="9"/>
  <c r="Q87" i="9"/>
  <c r="G40" i="9"/>
  <c r="D57" i="8"/>
  <c r="Q100" i="9"/>
  <c r="Q64" i="9"/>
  <c r="D49" i="8"/>
  <c r="N82" i="9"/>
  <c r="T94" i="9"/>
  <c r="N54" i="8"/>
  <c r="D90" i="9"/>
  <c r="D89" i="9"/>
  <c r="D78" i="8"/>
  <c r="J97" i="9"/>
  <c r="D98" i="9"/>
  <c r="Q86" i="3"/>
  <c r="J72" i="9"/>
  <c r="Q82" i="3"/>
  <c r="G77" i="3"/>
  <c r="T66" i="8"/>
  <c r="G95" i="8"/>
  <c r="T52" i="9"/>
  <c r="D53" i="9"/>
  <c r="N53" i="9"/>
  <c r="Q85" i="3"/>
  <c r="N88" i="9"/>
  <c r="D98" i="8"/>
  <c r="D69" i="8"/>
  <c r="T27" i="9"/>
  <c r="G39" i="8"/>
  <c r="J76" i="3"/>
  <c r="G66" i="8"/>
  <c r="Q27" i="9"/>
  <c r="Q74" i="9"/>
  <c r="N27" i="9"/>
  <c r="N92" i="3"/>
  <c r="J97" i="8"/>
  <c r="D60" i="8"/>
  <c r="G80" i="3"/>
  <c r="J97" i="3"/>
  <c r="D64" i="8"/>
  <c r="N57" i="8"/>
  <c r="N101" i="3"/>
  <c r="G48" i="9"/>
  <c r="G28" i="9"/>
  <c r="G30" i="8"/>
  <c r="D48" i="8"/>
  <c r="D86" i="3"/>
  <c r="N79" i="9"/>
  <c r="J39" i="9"/>
  <c r="G44" i="9"/>
  <c r="Q48" i="8"/>
  <c r="G53" i="9"/>
  <c r="T92" i="3"/>
  <c r="D78" i="3"/>
  <c r="T79" i="9"/>
  <c r="G79" i="9"/>
  <c r="T51" i="9"/>
  <c r="D97" i="8"/>
  <c r="T48" i="8"/>
  <c r="N44" i="9"/>
  <c r="N24" i="9"/>
  <c r="D40" i="8"/>
  <c r="G82" i="3"/>
  <c r="G93" i="8"/>
  <c r="T85" i="9"/>
  <c r="Q74" i="3"/>
  <c r="N74" i="3"/>
  <c r="J44" i="9"/>
  <c r="J58" i="8"/>
  <c r="Q64" i="8"/>
  <c r="D74" i="3"/>
  <c r="J53" i="9"/>
  <c r="D67" i="8"/>
  <c r="Q44" i="9"/>
  <c r="D66" i="8"/>
  <c r="D68" i="8"/>
  <c r="D83" i="3"/>
  <c r="D84" i="3"/>
  <c r="G83" i="3"/>
  <c r="Q23" i="8"/>
  <c r="G23" i="8"/>
  <c r="J91" i="3"/>
  <c r="Q91" i="3"/>
  <c r="T91" i="3"/>
  <c r="N79" i="8"/>
  <c r="Q79" i="8"/>
  <c r="J83" i="3"/>
  <c r="T81" i="3"/>
  <c r="G81" i="3"/>
  <c r="D82" i="3"/>
  <c r="G65" i="9"/>
  <c r="N65" i="9"/>
  <c r="G101" i="8"/>
  <c r="T101" i="8"/>
  <c r="D102" i="8"/>
  <c r="N101" i="8"/>
  <c r="N81" i="3"/>
  <c r="T63" i="9"/>
  <c r="Q63" i="9"/>
  <c r="G63" i="9"/>
  <c r="J63" i="9"/>
  <c r="D64" i="9"/>
  <c r="J95" i="3"/>
  <c r="Q52" i="8"/>
  <c r="T84" i="3"/>
  <c r="Q84" i="3"/>
  <c r="D76" i="3"/>
  <c r="D75" i="3"/>
  <c r="N75" i="3"/>
  <c r="T75" i="3"/>
  <c r="D80" i="8"/>
  <c r="D101" i="9"/>
  <c r="G100" i="9"/>
  <c r="D65" i="8"/>
  <c r="D39" i="8"/>
  <c r="D96" i="8"/>
  <c r="Q95" i="8"/>
  <c r="J95" i="8"/>
  <c r="N95" i="8"/>
  <c r="J79" i="8"/>
  <c r="N78" i="8"/>
  <c r="Q89" i="9"/>
  <c r="J59" i="9"/>
  <c r="Q59" i="9"/>
  <c r="D59" i="9"/>
  <c r="N59" i="9"/>
  <c r="Q82" i="9"/>
  <c r="D34" i="9"/>
  <c r="N60" i="9"/>
  <c r="D61" i="9"/>
  <c r="G60" i="9"/>
  <c r="Q60" i="9"/>
  <c r="Q29" i="9"/>
  <c r="T29" i="9"/>
  <c r="G29" i="9"/>
  <c r="J60" i="9"/>
  <c r="T67" i="9"/>
  <c r="Q67" i="9"/>
  <c r="G88" i="8"/>
  <c r="J88" i="8"/>
  <c r="Q90" i="3"/>
  <c r="D91" i="3"/>
  <c r="T90" i="3"/>
  <c r="G90" i="3"/>
  <c r="G69" i="8"/>
  <c r="T69" i="8"/>
  <c r="N69" i="8"/>
  <c r="J69" i="8"/>
  <c r="J81" i="3"/>
  <c r="T98" i="3"/>
  <c r="G98" i="3"/>
  <c r="J75" i="3"/>
  <c r="T79" i="8"/>
  <c r="T83" i="8"/>
  <c r="G83" i="8"/>
  <c r="D84" i="8"/>
  <c r="Q83" i="8"/>
  <c r="N98" i="3"/>
  <c r="Q88" i="8"/>
  <c r="D99" i="3"/>
  <c r="N99" i="9"/>
  <c r="G32" i="8"/>
  <c r="N54" i="9"/>
  <c r="Q54" i="9"/>
  <c r="J54" i="9"/>
  <c r="Q77" i="8"/>
  <c r="D77" i="8"/>
  <c r="T77" i="8"/>
  <c r="G77" i="8"/>
  <c r="D87" i="9"/>
  <c r="D77" i="3"/>
  <c r="N95" i="3"/>
  <c r="G95" i="3"/>
  <c r="D96" i="3"/>
  <c r="J51" i="8"/>
  <c r="T51" i="8"/>
  <c r="D52" i="8"/>
  <c r="N51" i="8"/>
  <c r="Q51" i="8"/>
  <c r="G79" i="8"/>
  <c r="Q74" i="8"/>
  <c r="T78" i="9"/>
  <c r="Q78" i="9"/>
  <c r="D78" i="9"/>
  <c r="N78" i="9"/>
  <c r="D79" i="9"/>
  <c r="G78" i="9"/>
  <c r="N91" i="3"/>
  <c r="T89" i="8"/>
  <c r="D85" i="3"/>
  <c r="D82" i="9"/>
  <c r="D81" i="9"/>
  <c r="T81" i="9"/>
  <c r="J57" i="8"/>
  <c r="D65" i="9"/>
  <c r="J31" i="9"/>
  <c r="G31" i="9"/>
  <c r="Q31" i="9"/>
  <c r="Q71" i="3"/>
  <c r="G71" i="3"/>
  <c r="G26" i="8"/>
  <c r="G51" i="8"/>
  <c r="Q69" i="9"/>
  <c r="D70" i="9"/>
  <c r="T69" i="9"/>
  <c r="J69" i="9"/>
  <c r="N85" i="8"/>
  <c r="G85" i="8"/>
  <c r="J85" i="8"/>
  <c r="Q85" i="8"/>
  <c r="D83" i="9"/>
  <c r="T64" i="8"/>
  <c r="J74" i="8"/>
  <c r="T102" i="9"/>
  <c r="D103" i="9"/>
  <c r="Q102" i="9"/>
  <c r="G102" i="9"/>
  <c r="T83" i="3"/>
  <c r="G73" i="9"/>
  <c r="T73" i="9"/>
  <c r="J73" i="9"/>
  <c r="D74" i="9"/>
  <c r="G99" i="8"/>
  <c r="D100" i="8"/>
  <c r="Q99" i="8"/>
  <c r="N99" i="8"/>
  <c r="D95" i="3"/>
  <c r="T65" i="9"/>
  <c r="Q75" i="3"/>
  <c r="N28" i="9"/>
  <c r="D29" i="9"/>
  <c r="T28" i="9"/>
  <c r="N102" i="9"/>
  <c r="D58" i="8"/>
  <c r="D71" i="8"/>
  <c r="J45" i="8"/>
  <c r="D46" i="8"/>
  <c r="G45" i="8"/>
  <c r="T45" i="8"/>
  <c r="Q45" i="8"/>
  <c r="J92" i="8"/>
  <c r="D93" i="8"/>
  <c r="J82" i="9"/>
  <c r="G70" i="8"/>
  <c r="T31" i="9"/>
  <c r="T98" i="8"/>
  <c r="J98" i="8"/>
  <c r="N98" i="8"/>
  <c r="D40" i="9"/>
  <c r="D92" i="8"/>
  <c r="Q65" i="9"/>
  <c r="J57" i="9"/>
  <c r="Q57" i="9"/>
  <c r="T99" i="8"/>
  <c r="D72" i="9"/>
  <c r="G34" i="9"/>
  <c r="D35" i="9"/>
  <c r="T34" i="9"/>
  <c r="N34" i="9"/>
  <c r="Q36" i="9"/>
  <c r="N36" i="9"/>
  <c r="D36" i="9"/>
  <c r="J36" i="9"/>
  <c r="T23" i="9"/>
  <c r="N23" i="9"/>
  <c r="D31" i="9"/>
  <c r="Q30" i="9"/>
  <c r="N30" i="9"/>
  <c r="T78" i="8"/>
  <c r="D79" i="8"/>
  <c r="J40" i="9"/>
  <c r="D92" i="3"/>
  <c r="G70" i="9"/>
  <c r="Q70" i="9"/>
  <c r="J70" i="9"/>
  <c r="J52" i="8"/>
  <c r="T52" i="8"/>
  <c r="N52" i="8"/>
  <c r="Q36" i="8"/>
  <c r="J23" i="9"/>
  <c r="D37" i="9"/>
  <c r="T55" i="9"/>
  <c r="J55" i="9"/>
  <c r="G55" i="9"/>
  <c r="N55" i="9"/>
  <c r="G52" i="8"/>
  <c r="D63" i="9"/>
  <c r="N62" i="9"/>
  <c r="Q31" i="8"/>
  <c r="J101" i="9"/>
  <c r="D102" i="9"/>
  <c r="N101" i="9"/>
  <c r="Q101" i="9"/>
  <c r="T101" i="9"/>
  <c r="G101" i="9"/>
  <c r="T90" i="8"/>
  <c r="J90" i="8"/>
  <c r="N90" i="8"/>
  <c r="N64" i="8"/>
  <c r="Q97" i="3"/>
  <c r="T97" i="3"/>
  <c r="D89" i="8"/>
  <c r="J78" i="9"/>
  <c r="N48" i="9"/>
  <c r="J48" i="9"/>
  <c r="Q48" i="9"/>
  <c r="T48" i="9"/>
  <c r="G81" i="9"/>
  <c r="T86" i="3"/>
  <c r="N86" i="3"/>
  <c r="D87" i="3"/>
  <c r="Q75" i="8"/>
  <c r="D76" i="8"/>
  <c r="N75" i="8"/>
  <c r="J86" i="3"/>
  <c r="N50" i="9"/>
  <c r="D51" i="9"/>
  <c r="J50" i="9"/>
  <c r="D42" i="9"/>
  <c r="J41" i="9"/>
  <c r="Q41" i="9"/>
  <c r="G41" i="9"/>
  <c r="D83" i="8"/>
  <c r="T82" i="8"/>
  <c r="J82" i="8"/>
  <c r="D82" i="8"/>
  <c r="D97" i="3"/>
  <c r="J96" i="3"/>
  <c r="T96" i="3"/>
  <c r="G96" i="9"/>
  <c r="D97" i="9"/>
  <c r="Q83" i="3"/>
  <c r="D71" i="9"/>
  <c r="J99" i="8"/>
  <c r="D85" i="8"/>
  <c r="D32" i="9"/>
  <c r="J30" i="9"/>
  <c r="T85" i="8"/>
  <c r="T73" i="8"/>
  <c r="Q73" i="8"/>
  <c r="G73" i="8"/>
  <c r="D73" i="8"/>
  <c r="J73" i="8"/>
  <c r="T84" i="9"/>
  <c r="D84" i="9"/>
  <c r="J84" i="9"/>
  <c r="Q23" i="9"/>
  <c r="T42" i="8"/>
  <c r="D43" i="8"/>
  <c r="J42" i="8"/>
  <c r="N42" i="8"/>
  <c r="G42" i="8"/>
  <c r="Q42" i="8"/>
  <c r="Q40" i="9"/>
  <c r="T40" i="9"/>
  <c r="N40" i="9"/>
  <c r="G25" i="9"/>
  <c r="T25" i="9"/>
  <c r="J25" i="9"/>
  <c r="Q25" i="9"/>
  <c r="D25" i="9"/>
  <c r="D24" i="9"/>
  <c r="J34" i="9"/>
  <c r="D75" i="8"/>
  <c r="N74" i="8"/>
  <c r="T74" i="8"/>
  <c r="G72" i="3"/>
  <c r="D73" i="3"/>
  <c r="G55" i="8"/>
  <c r="Q55" i="8"/>
  <c r="N55" i="8"/>
  <c r="D56" i="8"/>
  <c r="T89" i="9"/>
  <c r="N89" i="9"/>
  <c r="J89" i="9"/>
  <c r="T55" i="8"/>
  <c r="D56" i="9"/>
  <c r="D55" i="9"/>
  <c r="N83" i="3"/>
  <c r="J78" i="8"/>
  <c r="D74" i="8"/>
  <c r="G30" i="9"/>
  <c r="G57" i="8"/>
  <c r="Q81" i="3"/>
  <c r="J43" i="9"/>
  <c r="J101" i="8"/>
  <c r="T90" i="9"/>
  <c r="N90" i="9"/>
  <c r="J90" i="9"/>
  <c r="G90" i="9"/>
  <c r="D91" i="9"/>
  <c r="G90" i="8"/>
  <c r="D62" i="9"/>
  <c r="G78" i="8"/>
  <c r="Q99" i="3"/>
  <c r="T99" i="3"/>
  <c r="D100" i="3"/>
  <c r="N72" i="9"/>
  <c r="T72" i="9"/>
  <c r="Q72" i="9"/>
  <c r="N81" i="9"/>
  <c r="Q101" i="3"/>
  <c r="G101" i="3"/>
  <c r="T101" i="3"/>
  <c r="D102" i="3"/>
  <c r="J42" i="9"/>
  <c r="T42" i="9"/>
  <c r="Q42" i="9"/>
  <c r="N44" i="8"/>
  <c r="D44" i="8"/>
  <c r="T44" i="8"/>
  <c r="G44" i="8"/>
  <c r="J44" i="8"/>
  <c r="D100" i="9"/>
  <c r="T82" i="9"/>
  <c r="D88" i="3"/>
  <c r="Q87" i="3"/>
  <c r="N87" i="3"/>
  <c r="G42" i="9"/>
  <c r="Q100" i="8"/>
  <c r="G100" i="8"/>
  <c r="D101" i="8"/>
  <c r="T100" i="8"/>
  <c r="N100" i="8"/>
  <c r="G89" i="3"/>
  <c r="D89" i="3"/>
  <c r="T89" i="3"/>
  <c r="J89" i="3"/>
  <c r="N73" i="9"/>
  <c r="N87" i="9"/>
  <c r="T87" i="9"/>
  <c r="D30" i="9"/>
  <c r="D63" i="8"/>
  <c r="G63" i="8"/>
  <c r="T63" i="8"/>
  <c r="N63" i="8"/>
  <c r="J63" i="8"/>
  <c r="J93" i="3"/>
  <c r="T93" i="3"/>
  <c r="D81" i="3"/>
  <c r="D93" i="3"/>
  <c r="Q77" i="3"/>
  <c r="T77" i="3"/>
  <c r="N77" i="3"/>
  <c r="Q50" i="9"/>
  <c r="G36" i="8"/>
  <c r="T87" i="3"/>
  <c r="G89" i="8"/>
  <c r="T97" i="9"/>
  <c r="Q97" i="9"/>
  <c r="G97" i="9"/>
  <c r="G69" i="9"/>
  <c r="D26" i="9"/>
  <c r="J96" i="9"/>
  <c r="G36" i="9"/>
  <c r="D46" i="9"/>
  <c r="Q45" i="9"/>
  <c r="T45" i="9"/>
  <c r="J45" i="9"/>
  <c r="G93" i="3"/>
  <c r="D28" i="9"/>
  <c r="D90" i="8"/>
  <c r="D90" i="3"/>
  <c r="J73" i="3"/>
  <c r="N73" i="3"/>
  <c r="T73" i="3"/>
  <c r="J64" i="9"/>
  <c r="G64" i="9"/>
  <c r="Q93" i="3"/>
  <c r="Q95" i="3"/>
  <c r="Q38" i="8"/>
  <c r="D60" i="9"/>
  <c r="D68" i="9"/>
  <c r="J64" i="8"/>
  <c r="T76" i="9"/>
  <c r="N76" i="9"/>
  <c r="J76" i="9"/>
  <c r="G72" i="9"/>
  <c r="N73" i="8"/>
  <c r="N97" i="3"/>
  <c r="D43" i="9"/>
  <c r="J84" i="3"/>
  <c r="T43" i="9"/>
  <c r="Q101" i="8"/>
  <c r="N53" i="8"/>
  <c r="T53" i="8"/>
  <c r="J53" i="8"/>
  <c r="Q61" i="9"/>
  <c r="N71" i="8"/>
  <c r="D94" i="9"/>
  <c r="J95" i="9"/>
  <c r="J48" i="8"/>
  <c r="D101" i="3"/>
  <c r="T83" i="9"/>
  <c r="D62" i="8"/>
  <c r="N91" i="8"/>
  <c r="T80" i="8"/>
  <c r="T94" i="3"/>
  <c r="Q54" i="8"/>
  <c r="Q97" i="8"/>
  <c r="J100" i="3"/>
  <c r="D42" i="8"/>
  <c r="T84" i="8"/>
  <c r="J86" i="9"/>
  <c r="G91" i="9"/>
  <c r="G84" i="8"/>
  <c r="J80" i="3"/>
  <c r="N87" i="8"/>
  <c r="Q79" i="3"/>
  <c r="Q65" i="8"/>
  <c r="G85" i="3"/>
  <c r="J27" i="9"/>
  <c r="J76" i="8"/>
  <c r="N49" i="8"/>
  <c r="Q47" i="8"/>
  <c r="T93" i="8"/>
  <c r="N102" i="3"/>
  <c r="T49" i="8"/>
  <c r="G61" i="9"/>
  <c r="N41" i="8"/>
  <c r="G48" i="8"/>
  <c r="T58" i="9"/>
  <c r="N95" i="9"/>
  <c r="Q96" i="8"/>
  <c r="J71" i="9"/>
  <c r="N100" i="3"/>
  <c r="Q28" i="8"/>
  <c r="Q56" i="8"/>
  <c r="G94" i="3"/>
  <c r="N97" i="8"/>
  <c r="T61" i="8"/>
  <c r="J87" i="8"/>
  <c r="J103" i="8"/>
  <c r="Q68" i="8"/>
  <c r="N78" i="3"/>
  <c r="Q59" i="8"/>
  <c r="Q38" i="9"/>
  <c r="N66" i="8"/>
  <c r="G47" i="8"/>
  <c r="J38" i="9"/>
  <c r="J49" i="8"/>
  <c r="D81" i="8"/>
  <c r="T97" i="8"/>
  <c r="D50" i="9"/>
  <c r="T88" i="9"/>
  <c r="D55" i="8"/>
  <c r="J68" i="8"/>
  <c r="G52" i="9"/>
  <c r="J41" i="8"/>
  <c r="N58" i="9"/>
  <c r="Q60" i="8"/>
  <c r="J47" i="9"/>
  <c r="G95" i="9"/>
  <c r="G80" i="8"/>
  <c r="J39" i="8"/>
  <c r="N48" i="8"/>
  <c r="J71" i="8"/>
  <c r="D27" i="9"/>
  <c r="Q39" i="8"/>
  <c r="D59" i="8"/>
  <c r="Q66" i="9"/>
  <c r="N85" i="3"/>
  <c r="Q91" i="8"/>
  <c r="T54" i="8"/>
  <c r="D67" i="9"/>
  <c r="Q24" i="8"/>
  <c r="G29" i="8"/>
  <c r="Q80" i="8"/>
  <c r="T91" i="8"/>
  <c r="D96" i="9"/>
  <c r="T47" i="9"/>
  <c r="G102" i="3"/>
  <c r="G33" i="8"/>
  <c r="D48" i="9"/>
  <c r="G47" i="9"/>
  <c r="O49" i="4"/>
  <c r="B49" i="4" a="1"/>
  <c r="B10" i="10"/>
  <c r="B9" i="10"/>
  <c r="B11" i="10"/>
  <c r="B19" i="10"/>
  <c r="B13" i="10"/>
  <c r="B7" i="4" a="1"/>
  <c r="O38" i="4"/>
  <c r="O39" i="4"/>
  <c r="O27" i="4"/>
  <c r="O15" i="4"/>
  <c r="B18" i="4" a="1"/>
  <c r="B15" i="4" a="1"/>
  <c r="B16" i="4" a="1"/>
  <c r="B45" i="4" a="1"/>
  <c r="B21" i="4" a="1"/>
  <c r="B37" i="4" a="1"/>
  <c r="B28" i="4" a="1"/>
  <c r="O47" i="4"/>
  <c r="B23" i="4" a="1"/>
  <c r="O32" i="4"/>
  <c r="B35" i="4" a="1"/>
  <c r="O6" i="4"/>
  <c r="B4" i="4" a="1"/>
  <c r="B7" i="10"/>
  <c r="B5" i="10"/>
  <c r="B12" i="10"/>
  <c r="B6" i="10"/>
  <c r="O21" i="4"/>
  <c r="O45" i="4"/>
  <c r="O14" i="4"/>
  <c r="O31" i="4"/>
  <c r="O25" i="4"/>
  <c r="B19" i="4" a="1"/>
  <c r="B42" i="4" a="1"/>
  <c r="B39" i="4" a="1"/>
  <c r="O16" i="4"/>
  <c r="B47" i="4" a="1"/>
  <c r="O13" i="10"/>
  <c r="O41" i="4"/>
  <c r="B5" i="4" a="1"/>
  <c r="B10" i="4" a="1"/>
  <c r="B15" i="10"/>
  <c r="O8" i="4"/>
  <c r="B17" i="10"/>
  <c r="B14" i="10"/>
  <c r="O48" i="4"/>
  <c r="O37" i="4"/>
  <c r="O36" i="4"/>
  <c r="O26" i="4"/>
  <c r="O29" i="4"/>
  <c r="B30" i="4" a="1"/>
  <c r="B24" i="4" a="1"/>
  <c r="B20" i="4" a="1"/>
  <c r="O9" i="10"/>
  <c r="B41" i="4" a="1"/>
  <c r="O34" i="4"/>
  <c r="B43" i="4" a="1"/>
  <c r="O19" i="10"/>
  <c r="O12" i="10"/>
  <c r="B8" i="4" a="1"/>
  <c r="O12" i="4"/>
  <c r="O7" i="4"/>
  <c r="O5" i="10"/>
  <c r="O9" i="4"/>
  <c r="O28" i="4"/>
  <c r="O30" i="4"/>
  <c r="O46" i="4"/>
  <c r="O43" i="4"/>
  <c r="B40" i="4" a="1"/>
  <c r="B26" i="4" a="1"/>
  <c r="B27" i="4" a="1"/>
  <c r="B17" i="4" a="1"/>
  <c r="O24" i="4"/>
  <c r="O18" i="10"/>
  <c r="O44" i="4"/>
  <c r="O16" i="10"/>
  <c r="O8" i="10"/>
  <c r="B12" i="4" a="1"/>
  <c r="B9" i="4" a="1"/>
  <c r="O11" i="10"/>
  <c r="O20" i="4"/>
  <c r="B31" i="4" a="1"/>
  <c r="B13" i="4" a="1"/>
  <c r="B32" i="4" a="1"/>
  <c r="B8" i="10"/>
  <c r="O14" i="10"/>
  <c r="O10" i="10"/>
  <c r="B6" i="4" a="1"/>
  <c r="O6" i="10"/>
  <c r="B16" i="10"/>
  <c r="B18" i="10"/>
  <c r="O33" i="4"/>
  <c r="O17" i="4"/>
  <c r="O19" i="4"/>
  <c r="O35" i="4"/>
  <c r="B14" i="4" a="1"/>
  <c r="B48" i="4" a="1"/>
  <c r="B36" i="4" a="1"/>
  <c r="B25" i="4" a="1"/>
  <c r="B34" i="4" a="1"/>
  <c r="B22" i="4" a="1"/>
  <c r="O13" i="4"/>
  <c r="B38" i="4" a="1"/>
  <c r="O4" i="4"/>
  <c r="O15" i="10"/>
  <c r="O17" i="10"/>
  <c r="O4" i="10"/>
  <c r="O5" i="4"/>
  <c r="O11" i="4"/>
  <c r="B11" i="4" a="1"/>
  <c r="O18" i="4"/>
  <c r="O42" i="4"/>
  <c r="O23" i="4"/>
  <c r="O40" i="4"/>
  <c r="B46" i="4" a="1"/>
  <c r="B44" i="4" a="1"/>
  <c r="B33" i="4" a="1"/>
  <c r="B29" i="4" a="1"/>
  <c r="O10" i="4"/>
  <c r="O22" i="4"/>
  <c r="O7" i="10"/>
  <c r="B11" i="4"/>
  <c r="D37" i="8"/>
  <c r="J37" i="8"/>
  <c r="D33" i="8"/>
  <c r="D25" i="8"/>
  <c r="B7" i="4"/>
  <c r="B13" i="4"/>
  <c r="D35" i="8"/>
  <c r="J35" i="8"/>
  <c r="D23" i="8"/>
  <c r="J23" i="8"/>
  <c r="D36" i="8"/>
  <c r="J36" i="8"/>
  <c r="D31" i="8"/>
  <c r="J31" i="8"/>
  <c r="D32" i="8"/>
  <c r="D24" i="8"/>
  <c r="J24" i="8"/>
  <c r="D38" i="8"/>
  <c r="J38" i="8"/>
  <c r="B6" i="4"/>
  <c r="D25" i="3"/>
  <c r="B9" i="4"/>
  <c r="D28" i="3"/>
  <c r="D34" i="8"/>
  <c r="J34" i="8"/>
  <c r="D26" i="8"/>
  <c r="J26" i="8"/>
  <c r="D30" i="8"/>
  <c r="J30" i="8"/>
  <c r="B12" i="4"/>
  <c r="B8" i="4"/>
  <c r="D27" i="3"/>
  <c r="B10" i="4"/>
  <c r="D29" i="3"/>
  <c r="B4" i="4"/>
  <c r="D23" i="3"/>
  <c r="G23" i="3"/>
  <c r="D28" i="8"/>
  <c r="J28" i="8"/>
  <c r="B5" i="4"/>
  <c r="D24" i="3"/>
  <c r="D29" i="8"/>
  <c r="D27" i="8"/>
  <c r="J27" i="8"/>
  <c r="N38" i="8"/>
  <c r="B29" i="4"/>
  <c r="D48" i="3"/>
  <c r="B34" i="4"/>
  <c r="D53" i="3"/>
  <c r="G53" i="3"/>
  <c r="B49" i="4"/>
  <c r="D68" i="3"/>
  <c r="B17" i="4"/>
  <c r="D36" i="3"/>
  <c r="B28" i="4"/>
  <c r="D47" i="3"/>
  <c r="B37" i="4"/>
  <c r="D56" i="3"/>
  <c r="G56" i="3"/>
  <c r="J56" i="3"/>
  <c r="B45" i="4"/>
  <c r="D64" i="3"/>
  <c r="B38" i="4"/>
  <c r="D57" i="3"/>
  <c r="G57" i="3"/>
  <c r="J57" i="3"/>
  <c r="B22" i="4"/>
  <c r="D41" i="3"/>
  <c r="B25" i="4"/>
  <c r="D44" i="3"/>
  <c r="B47" i="4"/>
  <c r="D66" i="3"/>
  <c r="B39" i="4"/>
  <c r="D58" i="3"/>
  <c r="G58" i="3"/>
  <c r="J58" i="3"/>
  <c r="B20" i="4"/>
  <c r="D39" i="3"/>
  <c r="B42" i="4"/>
  <c r="D61" i="3"/>
  <c r="G61" i="3"/>
  <c r="J61" i="3"/>
  <c r="B16" i="4"/>
  <c r="D35" i="3"/>
  <c r="B35" i="4"/>
  <c r="D54" i="3"/>
  <c r="G54" i="3"/>
  <c r="J54" i="3"/>
  <c r="B33" i="4"/>
  <c r="D52" i="3"/>
  <c r="B36" i="4"/>
  <c r="D55" i="3"/>
  <c r="G55" i="3"/>
  <c r="J55" i="3"/>
  <c r="B23" i="4"/>
  <c r="D42" i="3"/>
  <c r="B27" i="4"/>
  <c r="D46" i="3"/>
  <c r="B24" i="4"/>
  <c r="D43" i="3"/>
  <c r="B21" i="4"/>
  <c r="D40" i="3"/>
  <c r="B15" i="4"/>
  <c r="D34" i="3"/>
  <c r="B43" i="4"/>
  <c r="D62" i="3"/>
  <c r="G62" i="3"/>
  <c r="J62" i="3"/>
  <c r="B44" i="4"/>
  <c r="D63" i="3"/>
  <c r="G63" i="3"/>
  <c r="J63" i="3"/>
  <c r="B48" i="4"/>
  <c r="D67" i="3"/>
  <c r="B31" i="4"/>
  <c r="D50" i="3"/>
  <c r="B26" i="4"/>
  <c r="D45" i="3"/>
  <c r="B30" i="4"/>
  <c r="D49" i="3"/>
  <c r="B19" i="4"/>
  <c r="D38" i="3"/>
  <c r="B18" i="4"/>
  <c r="D37" i="3"/>
  <c r="B32" i="4"/>
  <c r="D51" i="3"/>
  <c r="B46" i="4"/>
  <c r="D65" i="3"/>
  <c r="B14" i="4"/>
  <c r="D33" i="3"/>
  <c r="B41" i="4"/>
  <c r="D60" i="3"/>
  <c r="G60" i="3"/>
  <c r="J60" i="3"/>
  <c r="B40" i="4"/>
  <c r="D59" i="3"/>
  <c r="G59" i="3"/>
  <c r="J59" i="3"/>
  <c r="N68" i="3"/>
  <c r="D71" i="3"/>
  <c r="J71" i="3"/>
  <c r="D69" i="3"/>
  <c r="J69" i="3"/>
  <c r="N72" i="3"/>
  <c r="T72" i="3"/>
  <c r="D72" i="3"/>
  <c r="J72" i="3"/>
  <c r="D70" i="3"/>
  <c r="J70" i="3"/>
  <c r="N71" i="3"/>
  <c r="T71" i="3"/>
  <c r="N70" i="3"/>
  <c r="T70" i="3"/>
  <c r="N69" i="3"/>
  <c r="T69" i="3"/>
  <c r="N25" i="8"/>
  <c r="T25" i="8"/>
  <c r="N37" i="8"/>
  <c r="T37" i="8"/>
  <c r="N23" i="8"/>
  <c r="T23" i="8"/>
  <c r="N35" i="8"/>
  <c r="T35" i="8"/>
  <c r="N34" i="8"/>
  <c r="T34" i="8"/>
  <c r="N28" i="8"/>
  <c r="T28" i="8"/>
  <c r="N31" i="8"/>
  <c r="T31" i="8"/>
  <c r="N30" i="8"/>
  <c r="T30" i="8"/>
  <c r="N24" i="8"/>
  <c r="T24" i="8"/>
  <c r="N23" i="3"/>
  <c r="Q23" i="3"/>
  <c r="T23" i="3"/>
  <c r="N53" i="3"/>
  <c r="N67" i="3"/>
  <c r="N65" i="3"/>
  <c r="N66" i="3"/>
  <c r="N64" i="3"/>
  <c r="N54" i="3"/>
  <c r="N63" i="3"/>
  <c r="N59" i="3"/>
  <c r="N55" i="3"/>
  <c r="N62" i="3"/>
  <c r="N56" i="3"/>
  <c r="N61" i="3"/>
  <c r="N60" i="3"/>
  <c r="N58" i="3"/>
  <c r="N57" i="3"/>
  <c r="D30" i="3"/>
  <c r="D31" i="3"/>
  <c r="D32" i="3"/>
  <c r="D26" i="3"/>
  <c r="J23" i="3"/>
  <c r="N52" i="3"/>
  <c r="N39" i="3"/>
  <c r="N50" i="3"/>
  <c r="N34" i="3"/>
  <c r="N43" i="3"/>
  <c r="N41" i="3"/>
  <c r="N25" i="3"/>
  <c r="N44" i="3"/>
  <c r="N27" i="3"/>
  <c r="N46" i="3"/>
  <c r="N30" i="3"/>
  <c r="N48" i="3"/>
  <c r="N35" i="3"/>
  <c r="N37" i="3"/>
  <c r="N36" i="3"/>
  <c r="N42" i="3"/>
  <c r="N26" i="3"/>
  <c r="N40" i="3"/>
  <c r="N31" i="3"/>
  <c r="N49" i="3"/>
  <c r="N33" i="3"/>
  <c r="N28" i="3"/>
  <c r="N47" i="3"/>
  <c r="N38" i="3"/>
  <c r="N32" i="3"/>
  <c r="N51" i="3"/>
  <c r="N45" i="3"/>
  <c r="N29" i="3"/>
  <c r="N24" i="3"/>
  <c r="N32" i="8"/>
  <c r="T32" i="8"/>
  <c r="N27" i="8"/>
  <c r="T27" i="8"/>
  <c r="N33" i="8"/>
  <c r="T33" i="8"/>
  <c r="N26" i="8"/>
  <c r="T26" i="8"/>
  <c r="N29" i="8"/>
  <c r="T29" i="8"/>
  <c r="N36" i="8"/>
  <c r="T36" i="8"/>
  <c r="J25" i="8"/>
  <c r="J32" i="8"/>
  <c r="T38" i="8"/>
  <c r="J29" i="8"/>
  <c r="J33" i="8"/>
  <c r="G68" i="3"/>
  <c r="J68" i="3"/>
  <c r="Q68" i="3"/>
  <c r="T68" i="3"/>
  <c r="G64" i="3"/>
  <c r="J64" i="3"/>
  <c r="G66" i="3"/>
  <c r="J66" i="3"/>
  <c r="G67" i="3"/>
  <c r="J67" i="3"/>
  <c r="G65" i="3"/>
  <c r="J65" i="3"/>
  <c r="Q56" i="3"/>
  <c r="T56" i="3"/>
  <c r="Q55" i="3"/>
  <c r="T55" i="3"/>
  <c r="Q59" i="3"/>
  <c r="T59" i="3"/>
  <c r="Q63" i="3"/>
  <c r="T63" i="3"/>
  <c r="Q60" i="3"/>
  <c r="T60" i="3"/>
  <c r="Q64" i="3"/>
  <c r="T64" i="3"/>
  <c r="Q67" i="3"/>
  <c r="T67" i="3"/>
  <c r="Q62" i="3"/>
  <c r="T62" i="3"/>
  <c r="Q66" i="3"/>
  <c r="T66" i="3"/>
  <c r="Q57" i="3"/>
  <c r="T57" i="3"/>
  <c r="Q58" i="3"/>
  <c r="T58" i="3"/>
  <c r="Q61" i="3"/>
  <c r="T61" i="3"/>
  <c r="Q54" i="3"/>
  <c r="T54" i="3"/>
  <c r="Q65" i="3"/>
  <c r="T65" i="3"/>
  <c r="Q45" i="3"/>
  <c r="T45" i="3"/>
  <c r="Q30" i="3"/>
  <c r="T30" i="3"/>
  <c r="Q29" i="3"/>
  <c r="T29" i="3"/>
  <c r="Q38" i="3"/>
  <c r="T38" i="3"/>
  <c r="Q49" i="3"/>
  <c r="T49" i="3"/>
  <c r="Q42" i="3"/>
  <c r="T42" i="3"/>
  <c r="Q48" i="3"/>
  <c r="T48" i="3"/>
  <c r="Q44" i="3"/>
  <c r="T44" i="3"/>
  <c r="Q34" i="3"/>
  <c r="T34" i="3"/>
  <c r="Q31" i="3"/>
  <c r="T31" i="3"/>
  <c r="Q47" i="3"/>
  <c r="T47" i="3"/>
  <c r="Q25" i="3"/>
  <c r="T25" i="3"/>
  <c r="Q51" i="3"/>
  <c r="T51" i="3"/>
  <c r="Q28" i="3"/>
  <c r="T28" i="3"/>
  <c r="Q40" i="3"/>
  <c r="T40" i="3"/>
  <c r="Q37" i="3"/>
  <c r="T37" i="3"/>
  <c r="Q46" i="3"/>
  <c r="T46" i="3"/>
  <c r="Q41" i="3"/>
  <c r="T41" i="3"/>
  <c r="Q39" i="3"/>
  <c r="T39" i="3"/>
  <c r="Q36" i="3"/>
  <c r="T36" i="3"/>
  <c r="Q50" i="3"/>
  <c r="T50" i="3"/>
  <c r="Q24" i="3"/>
  <c r="T24" i="3"/>
  <c r="Q32" i="3"/>
  <c r="T32" i="3"/>
  <c r="Q33" i="3"/>
  <c r="T33" i="3"/>
  <c r="Q26" i="3"/>
  <c r="T26" i="3"/>
  <c r="Q35" i="3"/>
  <c r="T35" i="3"/>
  <c r="Q27" i="3"/>
  <c r="T27" i="3"/>
  <c r="Q43" i="3"/>
  <c r="T43" i="3"/>
  <c r="Q52" i="3"/>
  <c r="T52" i="3"/>
  <c r="Q53" i="3"/>
  <c r="T53" i="3"/>
  <c r="J53" i="3"/>
  <c r="G36" i="3"/>
  <c r="J36" i="3"/>
  <c r="G43" i="3"/>
  <c r="J43" i="3"/>
  <c r="G40" i="3"/>
  <c r="J40" i="3"/>
  <c r="G38" i="3"/>
  <c r="J38" i="3"/>
  <c r="G45" i="3"/>
  <c r="J45" i="3"/>
  <c r="G48" i="3"/>
  <c r="J48" i="3"/>
  <c r="G35" i="3"/>
  <c r="J35" i="3"/>
  <c r="G25" i="3"/>
  <c r="J25" i="3"/>
  <c r="G28" i="3"/>
  <c r="J28" i="3"/>
  <c r="G26" i="3"/>
  <c r="J26" i="3"/>
  <c r="G31" i="3"/>
  <c r="J31" i="3"/>
  <c r="G30" i="3"/>
  <c r="J30" i="3"/>
  <c r="G52" i="3"/>
  <c r="J52" i="3"/>
  <c r="G34" i="3"/>
  <c r="J34" i="3"/>
  <c r="G41" i="3"/>
  <c r="J41" i="3"/>
  <c r="G44" i="3"/>
  <c r="J44" i="3"/>
  <c r="G42" i="3"/>
  <c r="J42" i="3"/>
  <c r="G33" i="3"/>
  <c r="J33" i="3"/>
  <c r="G46" i="3"/>
  <c r="J46" i="3"/>
  <c r="G47" i="3"/>
  <c r="J47" i="3"/>
  <c r="G50" i="3"/>
  <c r="J50" i="3"/>
  <c r="G24" i="3"/>
  <c r="J24" i="3"/>
  <c r="G51" i="3"/>
  <c r="J51" i="3"/>
  <c r="G29" i="3"/>
  <c r="J29" i="3"/>
  <c r="G32" i="3"/>
  <c r="J32" i="3"/>
  <c r="G49" i="3"/>
  <c r="J49" i="3"/>
  <c r="G27" i="3"/>
  <c r="J27" i="3"/>
  <c r="G37" i="3"/>
  <c r="J37" i="3"/>
  <c r="G39" i="3"/>
  <c r="J39"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<sst xmlns="http://schemas.openxmlformats.org/spreadsheetml/2006/main" count="1865" uniqueCount="325">
  <si>
    <r>
      <rPr>
        <sz val="12"/>
        <color indexed="9"/>
        <rFont val="微軟正黑體"/>
        <family val="2"/>
        <charset val="136"/>
      </rPr>
      <t>最小保險年齡</t>
    </r>
    <phoneticPr fontId="3" type="noConversion"/>
  </si>
  <si>
    <r>
      <rPr>
        <sz val="12"/>
        <color indexed="9"/>
        <rFont val="微軟正黑體"/>
        <family val="2"/>
        <charset val="136"/>
      </rPr>
      <t>最大保險年齡</t>
    </r>
    <phoneticPr fontId="3" type="noConversion"/>
  </si>
  <si>
    <r>
      <rPr>
        <sz val="12"/>
        <color indexed="9"/>
        <rFont val="微軟正黑體"/>
        <family val="2"/>
        <charset val="136"/>
      </rPr>
      <t>最低保額</t>
    </r>
    <phoneticPr fontId="3" type="noConversion"/>
  </si>
  <si>
    <r>
      <rPr>
        <sz val="12"/>
        <color indexed="9"/>
        <rFont val="微軟正黑體"/>
        <family val="2"/>
        <charset val="136"/>
      </rPr>
      <t>最高保額</t>
    </r>
    <phoneticPr fontId="3" type="noConversion"/>
  </si>
  <si>
    <t>AHINTB1</t>
    <phoneticPr fontId="2" type="noConversion"/>
  </si>
  <si>
    <t>BNLTRN1</t>
    <phoneticPr fontId="2" type="noConversion"/>
  </si>
  <si>
    <t>AMRNTR1</t>
    <phoneticPr fontId="3" type="noConversion"/>
  </si>
  <si>
    <t>ADDNTR1</t>
    <phoneticPr fontId="3" type="noConversion"/>
  </si>
  <si>
    <t>CPAA</t>
    <phoneticPr fontId="3" type="noConversion"/>
  </si>
  <si>
    <t>MT</t>
    <phoneticPr fontId="2" type="noConversion"/>
  </si>
  <si>
    <t>ML</t>
    <phoneticPr fontId="2" type="noConversion"/>
  </si>
  <si>
    <t>ACCNTR1</t>
    <phoneticPr fontId="2" type="noConversion"/>
  </si>
  <si>
    <t>ACCNTR2</t>
  </si>
  <si>
    <t>職業等級</t>
    <phoneticPr fontId="9" type="noConversion"/>
  </si>
  <si>
    <t>小提醒</t>
    <phoneticPr fontId="9" type="noConversion"/>
  </si>
  <si>
    <t>投保內容</t>
    <phoneticPr fontId="9" type="noConversion"/>
  </si>
  <si>
    <t>繳費年期</t>
    <phoneticPr fontId="14" type="noConversion"/>
  </si>
  <si>
    <t>主約商品</t>
    <phoneticPr fontId="9" type="noConversion"/>
  </si>
  <si>
    <t>附約</t>
    <phoneticPr fontId="9" type="noConversion"/>
  </si>
  <si>
    <t>單位</t>
    <phoneticPr fontId="9" type="noConversion"/>
  </si>
  <si>
    <t>投保金額/單位/計劃</t>
  </si>
  <si>
    <t>萬元</t>
    <phoneticPr fontId="14" type="noConversion"/>
  </si>
  <si>
    <t>計劃</t>
    <phoneticPr fontId="14" type="noConversion"/>
  </si>
  <si>
    <t>商品代號</t>
    <phoneticPr fontId="2" type="noConversion"/>
  </si>
  <si>
    <t>年期</t>
    <phoneticPr fontId="2" type="noConversion"/>
  </si>
  <si>
    <r>
      <rPr>
        <b/>
        <sz val="14"/>
        <color indexed="9"/>
        <rFont val="微軟正黑體"/>
        <family val="2"/>
        <charset val="136"/>
      </rPr>
      <t>總檢核</t>
    </r>
    <phoneticPr fontId="9" type="noConversion"/>
  </si>
  <si>
    <t>醫吉御守</t>
    <phoneticPr fontId="9" type="noConversion"/>
  </si>
  <si>
    <t>PLAN</t>
    <phoneticPr fontId="9" type="noConversion"/>
  </si>
  <si>
    <t>PAY_YEAR</t>
    <phoneticPr fontId="9" type="noConversion"/>
  </si>
  <si>
    <t>SEX</t>
    <phoneticPr fontId="9" type="noConversion"/>
  </si>
  <si>
    <t>AGE</t>
    <phoneticPr fontId="9" type="noConversion"/>
  </si>
  <si>
    <t>GP</t>
    <phoneticPr fontId="9" type="noConversion"/>
  </si>
  <si>
    <t>0</t>
    <phoneticPr fontId="9" type="noConversion"/>
  </si>
  <si>
    <t>1</t>
    <phoneticPr fontId="9" type="noConversion"/>
  </si>
  <si>
    <t>2</t>
    <phoneticPr fontId="9" type="noConversion"/>
  </si>
  <si>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</si>
  <si>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</si>
  <si>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</si>
  <si>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</si>
  <si>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</si>
  <si>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</si>
  <si>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</si>
  <si>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</si>
  <si>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</si>
  <si>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</si>
  <si>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</si>
  <si>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</si>
  <si>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</si>
  <si>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</si>
  <si>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</si>
  <si>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</si>
  <si>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</si>
  <si>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</si>
  <si>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</si>
  <si>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</si>
  <si>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</si>
  <si>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</si>
  <si>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</si>
  <si>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</si>
  <si>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</si>
  <si>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</si>
  <si>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</si>
  <si>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</si>
  <si>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</si>
  <si>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</si>
  <si>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</si>
  <si>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</si>
  <si>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</si>
  <si>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</si>
  <si>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</si>
  <si>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</si>
  <si>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</si>
  <si>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</si>
  <si>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</si>
  <si>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</si>
  <si>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</si>
  <si>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</si>
  <si>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</si>
  <si>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</si>
  <si>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</si>
  <si>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</si>
  <si>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</si>
  <si>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</si>
  <si>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</si>
  <si>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</si>
  <si>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</si>
  <si>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</si>
  <si>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</si>
  <si>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</si>
  <si>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</si>
  <si>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</si>
  <si>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</si>
  <si>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</si>
  <si>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</si>
  <si>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</si>
  <si>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</si>
  <si>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</si>
  <si>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</si>
  <si>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</si>
  <si>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</si>
  <si>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</si>
  <si>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</si>
  <si>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</si>
  <si>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</si>
  <si>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</si>
  <si>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</si>
  <si>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</si>
  <si>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phoneticPr fontId="9" type="noConversion"/>
  </si>
  <si>
    <t>PLAN</t>
  </si>
  <si>
    <t>PAY_YEAR</t>
  </si>
  <si>
    <t>SEX</t>
  </si>
  <si>
    <t>AGE</t>
  </si>
  <si>
    <t>GP</t>
  </si>
  <si>
    <t>ML-5</t>
  </si>
  <si>
    <t>ML-10</t>
    <phoneticPr fontId="9" type="noConversion"/>
  </si>
  <si>
    <t>ML-15</t>
    <phoneticPr fontId="9" type="noConversion"/>
  </si>
  <si>
    <t>ML-20</t>
    <phoneticPr fontId="9" type="noConversion"/>
  </si>
  <si>
    <t>ML-25</t>
    <phoneticPr fontId="9" type="noConversion"/>
  </si>
  <si>
    <t>ML-30</t>
    <phoneticPr fontId="9" type="noConversion"/>
  </si>
  <si>
    <r>
      <t>3</t>
    </r>
    <r>
      <rPr>
        <sz val="10"/>
        <color indexed="8"/>
        <rFont val="微軟正黑體"/>
        <family val="2"/>
        <charset val="136"/>
      </rPr>
      <t>萬元</t>
    </r>
    <phoneticPr fontId="9" type="noConversion"/>
  </si>
  <si>
    <t>喜樂定期</t>
    <phoneticPr fontId="14" type="noConversion"/>
  </si>
  <si>
    <t>單位：元/每萬元保額</t>
    <phoneticPr fontId="9" type="noConversion"/>
  </si>
  <si>
    <t>新住院醫療限額</t>
    <phoneticPr fontId="9" type="noConversion"/>
  </si>
  <si>
    <t>PLAN_UNIT</t>
    <phoneticPr fontId="9" type="noConversion"/>
  </si>
  <si>
    <t>單位：每萬元保額之年繳保費</t>
  </si>
  <si>
    <t>ML</t>
    <phoneticPr fontId="9" type="noConversion"/>
  </si>
  <si>
    <t>單位：元</t>
    <phoneticPr fontId="9" type="noConversion"/>
  </si>
  <si>
    <t>MT</t>
    <phoneticPr fontId="9" type="noConversion"/>
  </si>
  <si>
    <t>愛寶貝
ACCNTR1</t>
    <phoneticPr fontId="9" type="noConversion"/>
  </si>
  <si>
    <t>標靶守護
ACCNTR2</t>
    <phoneticPr fontId="9" type="noConversion"/>
  </si>
  <si>
    <t>NTRH</t>
  </si>
  <si>
    <r>
      <rPr>
        <b/>
        <sz val="10"/>
        <color indexed="8"/>
        <rFont val="微軟正黑體"/>
        <family val="2"/>
        <charset val="136"/>
      </rPr>
      <t>年齡 \ 性別</t>
    </r>
    <phoneticPr fontId="9" type="noConversion"/>
  </si>
  <si>
    <r>
      <rPr>
        <b/>
        <sz val="10"/>
        <color indexed="8"/>
        <rFont val="微軟正黑體"/>
        <family val="2"/>
        <charset val="136"/>
      </rPr>
      <t>男性</t>
    </r>
    <phoneticPr fontId="9" type="noConversion"/>
  </si>
  <si>
    <r>
      <rPr>
        <b/>
        <sz val="10"/>
        <color indexed="8"/>
        <rFont val="微軟正黑體"/>
        <family val="2"/>
        <charset val="136"/>
      </rPr>
      <t>女性</t>
    </r>
    <phoneticPr fontId="9" type="noConversion"/>
  </si>
  <si>
    <t>保險年齡\職業類別</t>
  </si>
  <si>
    <t>一</t>
  </si>
  <si>
    <t>二</t>
  </si>
  <si>
    <t>三</t>
  </si>
  <si>
    <t>四</t>
  </si>
  <si>
    <t>五</t>
  </si>
  <si>
    <t>六</t>
  </si>
  <si>
    <t>計劃\職業等級</t>
    <phoneticPr fontId="9" type="noConversion"/>
  </si>
  <si>
    <t>14歲以下</t>
  </si>
  <si>
    <t>15歲</t>
  </si>
  <si>
    <r>
      <t>3</t>
    </r>
    <r>
      <rPr>
        <sz val="10"/>
        <color indexed="8"/>
        <rFont val="微軟正黑體"/>
        <family val="2"/>
        <charset val="136"/>
      </rPr>
      <t>萬以上
(每萬元)</t>
    </r>
    <phoneticPr fontId="9" type="noConversion"/>
  </si>
  <si>
    <t>16歲以上</t>
  </si>
  <si>
    <r>
      <rPr>
        <sz val="10"/>
        <color indexed="8"/>
        <rFont val="微軟正黑體"/>
        <family val="2"/>
        <charset val="136"/>
      </rPr>
      <t>註：MT最低投保金額3萬元</t>
    </r>
    <phoneticPr fontId="9" type="noConversion"/>
  </si>
  <si>
    <t>資訊檢核</t>
    <phoneticPr fontId="9" type="noConversion"/>
  </si>
  <si>
    <t>AHIRLB1</t>
    <phoneticPr fontId="3" type="noConversion"/>
  </si>
  <si>
    <t>年期</t>
    <phoneticPr fontId="14" type="noConversion"/>
  </si>
  <si>
    <r>
      <rPr>
        <b/>
        <sz val="10"/>
        <color indexed="9"/>
        <rFont val="微軟正黑體"/>
        <family val="2"/>
        <charset val="136"/>
      </rPr>
      <t>倍感安心</t>
    </r>
    <phoneticPr fontId="9" type="noConversion"/>
  </si>
  <si>
    <t>AHINTB1_NP</t>
    <phoneticPr fontId="3" type="noConversion"/>
  </si>
  <si>
    <t>AHIRLB1_NP</t>
    <phoneticPr fontId="3" type="noConversion"/>
  </si>
  <si>
    <t>ADMNTB1</t>
    <phoneticPr fontId="3" type="noConversion"/>
  </si>
  <si>
    <t>ADMNTB1_NP</t>
    <phoneticPr fontId="3" type="noConversion"/>
  </si>
  <si>
    <t>保誠人壽薪享幸福定期健康保險</t>
    <phoneticPr fontId="2" type="noConversion"/>
  </si>
  <si>
    <t>鑫幸福</t>
    <phoneticPr fontId="9" type="noConversion"/>
  </si>
  <si>
    <t>ADMRTB1</t>
    <phoneticPr fontId="3" type="noConversion"/>
  </si>
  <si>
    <t>ADMRTB1_NP</t>
    <phoneticPr fontId="3" type="noConversion"/>
  </si>
  <si>
    <t>BNLTRN1</t>
    <phoneticPr fontId="3" type="noConversion"/>
  </si>
  <si>
    <t>ML</t>
    <phoneticPr fontId="3" type="noConversion"/>
  </si>
  <si>
    <t>MT</t>
    <phoneticPr fontId="3" type="noConversion"/>
  </si>
  <si>
    <t>ACCNTR1</t>
    <phoneticPr fontId="3" type="noConversion"/>
  </si>
  <si>
    <t>ACCNTR2</t>
    <phoneticPr fontId="3" type="noConversion"/>
  </si>
  <si>
    <t>職業等級</t>
    <phoneticPr fontId="14" type="noConversion"/>
  </si>
  <si>
    <t>保費分齡表</t>
    <phoneticPr fontId="14" type="noConversion"/>
  </si>
  <si>
    <t>DPAA</t>
    <phoneticPr fontId="9" type="noConversion"/>
  </si>
  <si>
    <t>DPAA</t>
    <phoneticPr fontId="3" type="noConversion"/>
  </si>
  <si>
    <r>
      <t>1</t>
    </r>
    <r>
      <rPr>
        <sz val="12"/>
        <color theme="1"/>
        <rFont val="微軟正黑體"/>
        <family val="2"/>
        <charset val="136"/>
      </rPr>
      <t>年期</t>
    </r>
    <phoneticPr fontId="9" type="noConversion"/>
  </si>
  <si>
    <r>
      <rPr>
        <b/>
        <sz val="20"/>
        <color rgb="FF000000"/>
        <rFont val="微軟正黑體"/>
        <family val="2"/>
        <charset val="136"/>
      </rPr>
      <t>保費分齡表</t>
    </r>
    <phoneticPr fontId="9" type="noConversion"/>
  </si>
  <si>
    <r>
      <rPr>
        <sz val="10"/>
        <color rgb="FF000000"/>
        <rFont val="微軟正黑體"/>
        <family val="2"/>
        <charset val="136"/>
      </rPr>
      <t>險種名稱</t>
    </r>
    <phoneticPr fontId="9" type="noConversion"/>
  </si>
  <si>
    <r>
      <rPr>
        <sz val="10"/>
        <color rgb="FF000000"/>
        <rFont val="微軟正黑體"/>
        <family val="2"/>
        <charset val="136"/>
      </rPr>
      <t>代號</t>
    </r>
    <phoneticPr fontId="9" type="noConversion"/>
  </si>
  <si>
    <r>
      <rPr>
        <sz val="10"/>
        <color rgb="FF000000"/>
        <rFont val="微軟正黑體"/>
        <family val="2"/>
        <charset val="136"/>
      </rPr>
      <t>年期</t>
    </r>
    <phoneticPr fontId="9" type="noConversion"/>
  </si>
  <si>
    <r>
      <rPr>
        <sz val="10"/>
        <color rgb="FF000000"/>
        <rFont val="微軟正黑體"/>
        <family val="2"/>
        <charset val="136"/>
      </rPr>
      <t>投保年齡</t>
    </r>
    <phoneticPr fontId="2" type="noConversion"/>
  </si>
  <si>
    <r>
      <rPr>
        <sz val="10"/>
        <color rgb="FF000000"/>
        <rFont val="微軟正黑體"/>
        <family val="2"/>
        <charset val="136"/>
      </rPr>
      <t>保額</t>
    </r>
    <phoneticPr fontId="9" type="noConversion"/>
  </si>
  <si>
    <r>
      <rPr>
        <sz val="10"/>
        <color rgb="FF000000"/>
        <rFont val="微軟正黑體"/>
        <family val="2"/>
        <charset val="136"/>
      </rPr>
      <t>職業等級</t>
    </r>
    <phoneticPr fontId="2" type="noConversion"/>
  </si>
  <si>
    <r>
      <rPr>
        <sz val="11"/>
        <color rgb="FF000000"/>
        <rFont val="微軟正黑體"/>
        <family val="2"/>
        <charset val="136"/>
      </rPr>
      <t>※</t>
    </r>
    <phoneticPr fontId="9" type="noConversion"/>
  </si>
  <si>
    <r>
      <rPr>
        <sz val="12"/>
        <color theme="1"/>
        <rFont val="微軟正黑體"/>
        <family val="2"/>
        <charset val="136"/>
      </rPr>
      <t>本表</t>
    </r>
    <r>
      <rPr>
        <b/>
        <sz val="14"/>
        <color theme="1"/>
        <rFont val="微軟正黑體"/>
        <family val="2"/>
        <charset val="136"/>
      </rPr>
      <t>僅供參考</t>
    </r>
    <r>
      <rPr>
        <sz val="12"/>
        <color theme="1"/>
        <rFont val="微軟正黑體"/>
        <family val="2"/>
        <charset val="136"/>
      </rPr>
      <t>，詳細商品內容請參閱建議書及保單條款。</t>
    </r>
    <phoneticPr fontId="2" type="noConversion"/>
  </si>
  <si>
    <r>
      <rPr>
        <sz val="12"/>
        <color theme="1"/>
        <rFont val="微軟正黑體"/>
        <family val="2"/>
        <charset val="136"/>
      </rPr>
      <t>本商品之投保規則，依保誠人壽相關核保規定辦理，保誠人壽擁有最終承保與否之權利。</t>
    </r>
    <phoneticPr fontId="2" type="noConversion"/>
  </si>
  <si>
    <r>
      <rPr>
        <sz val="11"/>
        <color rgb="FF000000"/>
        <rFont val="微軟正黑體"/>
        <family val="2"/>
        <charset val="136"/>
      </rPr>
      <t>下表所有保費數字皆為年繳之原始保費，並未經過任何折扣計算，實際保費收取以保誠人壽核保結果為準。</t>
    </r>
    <phoneticPr fontId="9" type="noConversion"/>
  </si>
  <si>
    <r>
      <rPr>
        <sz val="11"/>
        <color rgb="FF000000"/>
        <rFont val="微軟正黑體"/>
        <family val="2"/>
        <charset val="136"/>
      </rPr>
      <t>下表保費數值為依據上列各險種投保資訊依各投保年齡計算而得之原始保險費。</t>
    </r>
    <phoneticPr fontId="9" type="noConversion"/>
  </si>
  <si>
    <r>
      <rPr>
        <sz val="11"/>
        <color rgb="FF000000"/>
        <rFont val="微軟正黑體"/>
        <family val="2"/>
        <charset val="136"/>
      </rPr>
      <t>消費者於購買本商品前，應詳閱各種銷售文件內容，如要詳細了解其他相關資訊，請洽保誠人壽總公司</t>
    </r>
    <r>
      <rPr>
        <sz val="11"/>
        <color rgb="FF000000"/>
        <rFont val="Arial"/>
        <family val="2"/>
      </rPr>
      <t>(</t>
    </r>
    <r>
      <rPr>
        <sz val="11"/>
        <color rgb="FF000000"/>
        <rFont val="微軟正黑體"/>
        <family val="2"/>
        <charset val="136"/>
      </rPr>
      <t>地址：台北市信義區松智路</t>
    </r>
    <r>
      <rPr>
        <sz val="11"/>
        <color rgb="FF000000"/>
        <rFont val="Arial"/>
        <family val="2"/>
      </rPr>
      <t>1</t>
    </r>
    <r>
      <rPr>
        <sz val="11"/>
        <color rgb="FF000000"/>
        <rFont val="微軟正黑體"/>
        <family val="2"/>
        <charset val="136"/>
      </rPr>
      <t>號</t>
    </r>
    <r>
      <rPr>
        <sz val="11"/>
        <color rgb="FF000000"/>
        <rFont val="Arial"/>
        <family val="2"/>
      </rPr>
      <t>8</t>
    </r>
    <r>
      <rPr>
        <sz val="11"/>
        <color rgb="FF000000"/>
        <rFont val="微軟正黑體"/>
        <family val="2"/>
        <charset val="136"/>
      </rPr>
      <t>樓，免付費客戶服務</t>
    </r>
    <r>
      <rPr>
        <sz val="11"/>
        <color rgb="FF000000"/>
        <rFont val="Arial"/>
        <family val="2"/>
      </rPr>
      <t>/</t>
    </r>
    <r>
      <rPr>
        <sz val="11"/>
        <color rgb="FF000000"/>
        <rFont val="微軟正黑體"/>
        <family val="2"/>
        <charset val="136"/>
      </rPr>
      <t>申訴專線</t>
    </r>
    <r>
      <rPr>
        <sz val="11"/>
        <color rgb="FF000000"/>
        <rFont val="Arial"/>
        <family val="2"/>
      </rPr>
      <t>0809-0809-68)</t>
    </r>
    <r>
      <rPr>
        <sz val="11"/>
        <color rgb="FF000000"/>
        <rFont val="微軟正黑體"/>
        <family val="2"/>
        <charset val="136"/>
      </rPr>
      <t>或</t>
    </r>
    <r>
      <rPr>
        <sz val="11"/>
        <color rgb="FF000000"/>
        <rFont val="Arial"/>
        <family val="2"/>
      </rPr>
      <t>(</t>
    </r>
    <r>
      <rPr>
        <sz val="11"/>
        <color rgb="FF000000"/>
        <rFont val="微軟正黑體"/>
        <family val="2"/>
        <charset val="136"/>
      </rPr>
      <t>網址</t>
    </r>
    <r>
      <rPr>
        <sz val="11"/>
        <color rgb="FF000000"/>
        <rFont val="Arial"/>
        <family val="2"/>
      </rPr>
      <t>http://www.pcalife.com.tw)</t>
    </r>
    <r>
      <rPr>
        <sz val="11"/>
        <color rgb="FF000000"/>
        <rFont val="微軟正黑體"/>
        <family val="2"/>
        <charset val="136"/>
      </rPr>
      <t>，以保障您的權益。</t>
    </r>
    <phoneticPr fontId="2" type="noConversion"/>
  </si>
  <si>
    <r>
      <t>(</t>
    </r>
    <r>
      <rPr>
        <sz val="11"/>
        <color rgb="FF000000"/>
        <rFont val="微軟正黑體"/>
        <family val="2"/>
        <charset val="136"/>
      </rPr>
      <t>新臺幣</t>
    </r>
    <r>
      <rPr>
        <sz val="11"/>
        <color rgb="FF000000"/>
        <rFont val="Arial"/>
        <family val="2"/>
      </rPr>
      <t>/</t>
    </r>
    <r>
      <rPr>
        <sz val="11"/>
        <color rgb="FF000000"/>
        <rFont val="微軟正黑體"/>
        <family val="2"/>
        <charset val="136"/>
      </rPr>
      <t>元</t>
    </r>
    <r>
      <rPr>
        <sz val="11"/>
        <color rgb="FF000000"/>
        <rFont val="Arial"/>
        <family val="2"/>
      </rPr>
      <t>)</t>
    </r>
    <phoneticPr fontId="9" type="noConversion"/>
  </si>
  <si>
    <r>
      <rPr>
        <sz val="11"/>
        <color theme="1"/>
        <rFont val="微軟正黑體"/>
        <family val="2"/>
        <charset val="136"/>
      </rPr>
      <t>男性</t>
    </r>
    <phoneticPr fontId="9" type="noConversion"/>
  </si>
  <si>
    <r>
      <rPr>
        <sz val="11"/>
        <color theme="1"/>
        <rFont val="微軟正黑體"/>
        <family val="2"/>
        <charset val="136"/>
      </rPr>
      <t>女性</t>
    </r>
    <phoneticPr fontId="9" type="noConversion"/>
  </si>
  <si>
    <r>
      <rPr>
        <sz val="11"/>
        <color theme="1"/>
        <rFont val="微軟正黑體"/>
        <family val="2"/>
        <charset val="136"/>
      </rPr>
      <t>投保年齡</t>
    </r>
    <phoneticPr fontId="9" type="noConversion"/>
  </si>
  <si>
    <r>
      <rPr>
        <sz val="11"/>
        <color theme="1"/>
        <rFont val="微軟正黑體"/>
        <family val="2"/>
        <charset val="136"/>
      </rPr>
      <t>主約保費</t>
    </r>
    <phoneticPr fontId="9" type="noConversion"/>
  </si>
  <si>
    <r>
      <rPr>
        <sz val="11"/>
        <color theme="1"/>
        <rFont val="微軟正黑體"/>
        <family val="2"/>
        <charset val="136"/>
      </rPr>
      <t>附約保費</t>
    </r>
    <phoneticPr fontId="9" type="noConversion"/>
  </si>
  <si>
    <r>
      <rPr>
        <sz val="11"/>
        <color theme="1"/>
        <rFont val="微軟正黑體"/>
        <family val="2"/>
        <charset val="136"/>
      </rPr>
      <t>總保費</t>
    </r>
    <phoneticPr fontId="9" type="noConversion"/>
  </si>
  <si>
    <r>
      <rPr>
        <sz val="11"/>
        <color theme="1"/>
        <rFont val="微軟正黑體"/>
        <family val="2"/>
        <charset val="136"/>
      </rPr>
      <t>本表</t>
    </r>
    <r>
      <rPr>
        <b/>
        <sz val="14"/>
        <color theme="1"/>
        <rFont val="微軟正黑體"/>
        <family val="2"/>
        <charset val="136"/>
      </rPr>
      <t>僅供參考</t>
    </r>
    <r>
      <rPr>
        <sz val="11"/>
        <color theme="1"/>
        <rFont val="微軟正黑體"/>
        <family val="2"/>
        <charset val="136"/>
      </rPr>
      <t>，詳細商品內容請參閱建議書及保單條款。</t>
    </r>
    <phoneticPr fontId="2" type="noConversion"/>
  </si>
  <si>
    <r>
      <rPr>
        <sz val="11"/>
        <color theme="1"/>
        <rFont val="微軟正黑體"/>
        <family val="2"/>
        <charset val="136"/>
      </rPr>
      <t>本商品之投保規則，依保誠人壽相關核保規定辦理，保誠人壽擁有最終承保與否之權利。</t>
    </r>
    <phoneticPr fontId="2" type="noConversion"/>
  </si>
  <si>
    <r>
      <rPr>
        <u/>
        <sz val="11"/>
        <color theme="10"/>
        <rFont val="微軟正黑體"/>
        <family val="2"/>
        <charset val="136"/>
      </rPr>
      <t>回資料輸入</t>
    </r>
    <phoneticPr fontId="2" type="noConversion"/>
  </si>
  <si>
    <r>
      <t>1</t>
    </r>
    <r>
      <rPr>
        <sz val="12"/>
        <color theme="1"/>
        <rFont val="微軟正黑體"/>
        <family val="2"/>
        <charset val="136"/>
      </rPr>
      <t>年期</t>
    </r>
    <phoneticPr fontId="14" type="noConversion"/>
  </si>
  <si>
    <r>
      <t>10</t>
    </r>
    <r>
      <rPr>
        <sz val="12"/>
        <color theme="1"/>
        <rFont val="微軟正黑體"/>
        <family val="2"/>
        <charset val="136"/>
      </rPr>
      <t>年期</t>
    </r>
    <phoneticPr fontId="14" type="noConversion"/>
  </si>
  <si>
    <r>
      <rPr>
        <b/>
        <sz val="14"/>
        <color indexed="8"/>
        <rFont val="微軟正黑體"/>
        <family val="2"/>
        <charset val="136"/>
      </rPr>
      <t>基本檢核項目</t>
    </r>
    <phoneticPr fontId="9" type="noConversion"/>
  </si>
  <si>
    <r>
      <rPr>
        <sz val="10"/>
        <color indexed="8"/>
        <rFont val="微軟正黑體"/>
        <family val="2"/>
        <charset val="136"/>
      </rPr>
      <t>【保額</t>
    </r>
    <r>
      <rPr>
        <sz val="10"/>
        <color indexed="8"/>
        <rFont val="Arial"/>
        <family val="2"/>
      </rPr>
      <t>/</t>
    </r>
    <r>
      <rPr>
        <sz val="10"/>
        <color indexed="8"/>
        <rFont val="微軟正黑體"/>
        <family val="2"/>
        <charset val="136"/>
      </rPr>
      <t>保費】資訊檢核</t>
    </r>
    <phoneticPr fontId="9" type="noConversion"/>
  </si>
  <si>
    <r>
      <rPr>
        <sz val="10"/>
        <color indexed="8"/>
        <rFont val="微軟正黑體"/>
        <family val="2"/>
        <charset val="136"/>
      </rPr>
      <t>資訊檢核</t>
    </r>
    <phoneticPr fontId="9" type="noConversion"/>
  </si>
  <si>
    <r>
      <rPr>
        <u/>
        <sz val="10"/>
        <rFont val="微軟正黑體"/>
        <family val="2"/>
        <charset val="136"/>
      </rPr>
      <t>保額保費金額</t>
    </r>
    <phoneticPr fontId="9" type="noConversion"/>
  </si>
  <si>
    <r>
      <rPr>
        <sz val="10"/>
        <color indexed="10"/>
        <rFont val="微軟正黑體"/>
        <family val="2"/>
        <charset val="136"/>
      </rPr>
      <t>▲</t>
    </r>
    <r>
      <rPr>
        <sz val="10"/>
        <color indexed="8"/>
        <rFont val="Arial"/>
        <family val="2"/>
      </rPr>
      <t xml:space="preserve"> </t>
    </r>
    <r>
      <rPr>
        <sz val="10"/>
        <color indexed="8"/>
        <rFont val="微軟正黑體"/>
        <family val="2"/>
        <charset val="136"/>
      </rPr>
      <t>保額限制</t>
    </r>
    <phoneticPr fontId="9" type="noConversion"/>
  </si>
  <si>
    <r>
      <rPr>
        <sz val="10"/>
        <color indexed="10"/>
        <rFont val="微軟正黑體"/>
        <family val="2"/>
        <charset val="136"/>
      </rPr>
      <t>▲</t>
    </r>
    <r>
      <rPr>
        <sz val="10"/>
        <color indexed="8"/>
        <rFont val="Arial"/>
        <family val="2"/>
      </rPr>
      <t xml:space="preserve"> </t>
    </r>
    <r>
      <rPr>
        <sz val="10"/>
        <color indexed="8"/>
        <rFont val="微軟正黑體"/>
        <family val="2"/>
        <charset val="136"/>
      </rPr>
      <t>職業等級輸入</t>
    </r>
    <phoneticPr fontId="9" type="noConversion"/>
  </si>
  <si>
    <r>
      <rPr>
        <sz val="10"/>
        <color indexed="10"/>
        <rFont val="微軟正黑體"/>
        <family val="2"/>
        <charset val="136"/>
      </rPr>
      <t>▲</t>
    </r>
    <r>
      <rPr>
        <sz val="10"/>
        <color indexed="8"/>
        <rFont val="Arial"/>
        <family val="2"/>
      </rPr>
      <t xml:space="preserve"> </t>
    </r>
    <r>
      <rPr>
        <sz val="10"/>
        <color indexed="8"/>
        <rFont val="微軟正黑體"/>
        <family val="2"/>
        <charset val="136"/>
      </rPr>
      <t>增加單位</t>
    </r>
    <phoneticPr fontId="9" type="noConversion"/>
  </si>
  <si>
    <r>
      <rPr>
        <sz val="10"/>
        <color indexed="10"/>
        <rFont val="微軟正黑體"/>
        <family val="2"/>
        <charset val="136"/>
      </rPr>
      <t>▲</t>
    </r>
    <r>
      <rPr>
        <sz val="10"/>
        <color indexed="8"/>
        <rFont val="Arial"/>
        <family val="2"/>
      </rPr>
      <t xml:space="preserve"> </t>
    </r>
    <r>
      <rPr>
        <sz val="10"/>
        <color indexed="8"/>
        <rFont val="微軟正黑體"/>
        <family val="2"/>
        <charset val="136"/>
      </rPr>
      <t>金額輸入</t>
    </r>
    <phoneticPr fontId="9" type="noConversion"/>
  </si>
  <si>
    <r>
      <rPr>
        <sz val="10"/>
        <color theme="1"/>
        <rFont val="微軟正黑體"/>
        <family val="2"/>
        <charset val="136"/>
      </rPr>
      <t>主約檢核</t>
    </r>
    <phoneticPr fontId="2" type="noConversion"/>
  </si>
  <si>
    <r>
      <rPr>
        <sz val="10"/>
        <color indexed="10"/>
        <rFont val="微軟正黑體"/>
        <family val="2"/>
        <charset val="136"/>
      </rPr>
      <t>▲</t>
    </r>
    <r>
      <rPr>
        <sz val="10"/>
        <color indexed="8"/>
        <rFont val="Arial"/>
        <family val="2"/>
      </rPr>
      <t xml:space="preserve"> </t>
    </r>
    <r>
      <rPr>
        <sz val="10"/>
        <color indexed="8"/>
        <rFont val="微軟正黑體"/>
        <family val="2"/>
        <charset val="136"/>
      </rPr>
      <t>主約選擇</t>
    </r>
    <phoneticPr fontId="9" type="noConversion"/>
  </si>
  <si>
    <r>
      <rPr>
        <u/>
        <sz val="10"/>
        <rFont val="微軟正黑體"/>
        <family val="2"/>
        <charset val="136"/>
      </rPr>
      <t>年期檢核</t>
    </r>
    <phoneticPr fontId="9" type="noConversion"/>
  </si>
  <si>
    <r>
      <rPr>
        <sz val="10"/>
        <color indexed="10"/>
        <rFont val="微軟正黑體"/>
        <family val="2"/>
        <charset val="136"/>
      </rPr>
      <t>▲</t>
    </r>
    <r>
      <rPr>
        <sz val="10"/>
        <color indexed="8"/>
        <rFont val="Arial"/>
        <family val="2"/>
      </rPr>
      <t xml:space="preserve"> </t>
    </r>
    <r>
      <rPr>
        <sz val="10"/>
        <color indexed="8"/>
        <rFont val="微軟正黑體"/>
        <family val="2"/>
        <charset val="136"/>
      </rPr>
      <t>主約職級檢核</t>
    </r>
    <phoneticPr fontId="9" type="noConversion"/>
  </si>
  <si>
    <r>
      <rPr>
        <sz val="10"/>
        <color indexed="10"/>
        <rFont val="微軟正黑體"/>
        <family val="2"/>
        <charset val="136"/>
      </rPr>
      <t>▲</t>
    </r>
    <r>
      <rPr>
        <sz val="10"/>
        <color indexed="8"/>
        <rFont val="Arial"/>
        <family val="2"/>
      </rPr>
      <t xml:space="preserve"> </t>
    </r>
    <r>
      <rPr>
        <sz val="10"/>
        <color indexed="8"/>
        <rFont val="微軟正黑體"/>
        <family val="2"/>
        <charset val="136"/>
      </rPr>
      <t>年期確認</t>
    </r>
    <phoneticPr fontId="9" type="noConversion"/>
  </si>
  <si>
    <r>
      <rPr>
        <sz val="10"/>
        <color indexed="10"/>
        <rFont val="微軟正黑體"/>
        <family val="2"/>
        <charset val="136"/>
      </rPr>
      <t>▲</t>
    </r>
    <r>
      <rPr>
        <sz val="10"/>
        <color indexed="8"/>
        <rFont val="Arial"/>
        <family val="2"/>
      </rPr>
      <t xml:space="preserve"> </t>
    </r>
    <r>
      <rPr>
        <sz val="10"/>
        <color indexed="8"/>
        <rFont val="微軟正黑體"/>
        <family val="2"/>
        <charset val="136"/>
      </rPr>
      <t>職業等級判斷</t>
    </r>
    <phoneticPr fontId="9" type="noConversion"/>
  </si>
  <si>
    <r>
      <rPr>
        <sz val="10"/>
        <color indexed="10"/>
        <rFont val="微軟正黑體"/>
        <family val="2"/>
        <charset val="136"/>
      </rPr>
      <t>▲</t>
    </r>
    <r>
      <rPr>
        <sz val="10"/>
        <color indexed="8"/>
        <rFont val="Arial"/>
        <family val="2"/>
      </rPr>
      <t xml:space="preserve"> </t>
    </r>
    <r>
      <rPr>
        <sz val="10"/>
        <color indexed="8"/>
        <rFont val="微軟正黑體"/>
        <family val="2"/>
        <charset val="136"/>
      </rPr>
      <t>年期包含</t>
    </r>
    <phoneticPr fontId="9" type="noConversion"/>
  </si>
  <si>
    <r>
      <rPr>
        <sz val="10"/>
        <color indexed="10"/>
        <rFont val="微軟正黑體"/>
        <family val="2"/>
        <charset val="136"/>
      </rPr>
      <t>▲</t>
    </r>
    <r>
      <rPr>
        <sz val="10"/>
        <color indexed="8"/>
        <rFont val="Arial"/>
        <family val="2"/>
      </rPr>
      <t xml:space="preserve"> </t>
    </r>
    <r>
      <rPr>
        <sz val="10"/>
        <color indexed="8"/>
        <rFont val="微軟正黑體"/>
        <family val="2"/>
        <charset val="136"/>
      </rPr>
      <t>投保意外險判斷</t>
    </r>
    <phoneticPr fontId="9" type="noConversion"/>
  </si>
  <si>
    <r>
      <rPr>
        <b/>
        <sz val="14"/>
        <color indexed="8"/>
        <rFont val="微軟正黑體"/>
        <family val="2"/>
        <charset val="136"/>
      </rPr>
      <t>附約檢核項目</t>
    </r>
    <phoneticPr fontId="9" type="noConversion"/>
  </si>
  <si>
    <r>
      <rPr>
        <sz val="10"/>
        <color indexed="8"/>
        <rFont val="微軟正黑體"/>
        <family val="2"/>
        <charset val="136"/>
      </rPr>
      <t>【喜樂定期】資訊檢核</t>
    </r>
    <phoneticPr fontId="9" type="noConversion"/>
  </si>
  <si>
    <r>
      <rPr>
        <sz val="10"/>
        <color indexed="8"/>
        <rFont val="微軟正黑體"/>
        <family val="2"/>
        <charset val="136"/>
      </rPr>
      <t>【新住院醫療限額】資訊檢核</t>
    </r>
    <phoneticPr fontId="9" type="noConversion"/>
  </si>
  <si>
    <r>
      <rPr>
        <sz val="10"/>
        <color indexed="8"/>
        <rFont val="微軟正黑體"/>
        <family val="2"/>
        <charset val="136"/>
      </rPr>
      <t>【一年期重大疾病】資訊檢核</t>
    </r>
    <phoneticPr fontId="9" type="noConversion"/>
  </si>
  <si>
    <r>
      <rPr>
        <sz val="10"/>
        <color indexed="10"/>
        <rFont val="微軟正黑體"/>
        <family val="2"/>
        <charset val="136"/>
      </rPr>
      <t>▲</t>
    </r>
    <r>
      <rPr>
        <sz val="10"/>
        <color indexed="8"/>
        <rFont val="Arial"/>
        <family val="2"/>
      </rPr>
      <t xml:space="preserve"> </t>
    </r>
    <r>
      <rPr>
        <sz val="10"/>
        <color indexed="8"/>
        <rFont val="微軟正黑體"/>
        <family val="2"/>
        <charset val="136"/>
      </rPr>
      <t>保額格式</t>
    </r>
    <phoneticPr fontId="9" type="noConversion"/>
  </si>
  <si>
    <r>
      <rPr>
        <sz val="10"/>
        <color indexed="10"/>
        <rFont val="微軟正黑體"/>
        <family val="2"/>
        <charset val="136"/>
      </rPr>
      <t>▲</t>
    </r>
    <r>
      <rPr>
        <sz val="10"/>
        <color indexed="8"/>
        <rFont val="Arial"/>
        <family val="2"/>
      </rPr>
      <t xml:space="preserve"> </t>
    </r>
    <r>
      <rPr>
        <sz val="10"/>
        <color indexed="8"/>
        <rFont val="微軟正黑體"/>
        <family val="2"/>
        <charset val="136"/>
      </rPr>
      <t>計畫檢核</t>
    </r>
    <phoneticPr fontId="9" type="noConversion"/>
  </si>
  <si>
    <r>
      <rPr>
        <sz val="10"/>
        <color indexed="10"/>
        <rFont val="微軟正黑體"/>
        <family val="2"/>
        <charset val="136"/>
      </rPr>
      <t>▲</t>
    </r>
    <r>
      <rPr>
        <sz val="10"/>
        <color indexed="8"/>
        <rFont val="Arial"/>
        <family val="2"/>
      </rPr>
      <t xml:space="preserve"> </t>
    </r>
    <r>
      <rPr>
        <sz val="10"/>
        <color indexed="8"/>
        <rFont val="微軟正黑體"/>
        <family val="2"/>
        <charset val="136"/>
      </rPr>
      <t>保額單位</t>
    </r>
    <phoneticPr fontId="9" type="noConversion"/>
  </si>
  <si>
    <r>
      <rPr>
        <sz val="10"/>
        <color indexed="10"/>
        <rFont val="微軟正黑體"/>
        <family val="2"/>
        <charset val="136"/>
      </rPr>
      <t>▲</t>
    </r>
    <r>
      <rPr>
        <sz val="10"/>
        <color indexed="8"/>
        <rFont val="Arial"/>
        <family val="2"/>
      </rPr>
      <t xml:space="preserve"> </t>
    </r>
    <r>
      <rPr>
        <sz val="10"/>
        <color indexed="8"/>
        <rFont val="微軟正黑體"/>
        <family val="2"/>
        <charset val="136"/>
      </rPr>
      <t>投保檢核</t>
    </r>
    <phoneticPr fontId="9" type="noConversion"/>
  </si>
  <si>
    <r>
      <rPr>
        <sz val="10"/>
        <color indexed="10"/>
        <rFont val="微軟正黑體"/>
        <family val="2"/>
        <charset val="136"/>
      </rPr>
      <t>▲</t>
    </r>
    <r>
      <rPr>
        <sz val="10"/>
        <color indexed="8"/>
        <rFont val="Arial"/>
        <family val="2"/>
      </rPr>
      <t xml:space="preserve"> </t>
    </r>
    <r>
      <rPr>
        <sz val="10"/>
        <color indexed="8"/>
        <rFont val="微軟正黑體"/>
        <family val="2"/>
        <charset val="136"/>
      </rPr>
      <t>反灰檢核</t>
    </r>
    <phoneticPr fontId="9" type="noConversion"/>
  </si>
  <si>
    <r>
      <rPr>
        <sz val="10"/>
        <color indexed="10"/>
        <rFont val="微軟正黑體"/>
        <family val="2"/>
        <charset val="136"/>
      </rPr>
      <t>▲</t>
    </r>
    <r>
      <rPr>
        <sz val="10"/>
        <color indexed="8"/>
        <rFont val="Arial"/>
        <family val="2"/>
      </rPr>
      <t xml:space="preserve"> </t>
    </r>
    <r>
      <rPr>
        <sz val="10"/>
        <color indexed="8"/>
        <rFont val="微軟正黑體"/>
        <family val="2"/>
        <charset val="136"/>
      </rPr>
      <t>空白檢核</t>
    </r>
    <phoneticPr fontId="9" type="noConversion"/>
  </si>
  <si>
    <r>
      <rPr>
        <sz val="10"/>
        <color indexed="8"/>
        <rFont val="微軟正黑體"/>
        <family val="2"/>
        <charset val="136"/>
      </rPr>
      <t>【</t>
    </r>
    <r>
      <rPr>
        <sz val="10"/>
        <color indexed="8"/>
        <rFont val="Arial"/>
        <family val="2"/>
      </rPr>
      <t>CPAA</t>
    </r>
    <r>
      <rPr>
        <sz val="10"/>
        <color indexed="8"/>
        <rFont val="微軟正黑體"/>
        <family val="2"/>
        <charset val="136"/>
      </rPr>
      <t>】資訊檢核</t>
    </r>
    <phoneticPr fontId="9" type="noConversion"/>
  </si>
  <si>
    <r>
      <rPr>
        <sz val="10"/>
        <color indexed="8"/>
        <rFont val="微軟正黑體"/>
        <family val="2"/>
        <charset val="136"/>
      </rPr>
      <t>【</t>
    </r>
    <r>
      <rPr>
        <sz val="10"/>
        <color indexed="8"/>
        <rFont val="Arial"/>
        <family val="2"/>
      </rPr>
      <t>ML</t>
    </r>
    <r>
      <rPr>
        <sz val="10"/>
        <color indexed="8"/>
        <rFont val="微軟正黑體"/>
        <family val="2"/>
        <charset val="136"/>
      </rPr>
      <t>】資訊檢核</t>
    </r>
    <phoneticPr fontId="9" type="noConversion"/>
  </si>
  <si>
    <r>
      <rPr>
        <sz val="10"/>
        <color indexed="8"/>
        <rFont val="微軟正黑體"/>
        <family val="2"/>
        <charset val="136"/>
      </rPr>
      <t>【</t>
    </r>
    <r>
      <rPr>
        <sz val="10"/>
        <color indexed="8"/>
        <rFont val="Arial"/>
        <family val="2"/>
      </rPr>
      <t>MT</t>
    </r>
    <r>
      <rPr>
        <sz val="10"/>
        <color indexed="8"/>
        <rFont val="微軟正黑體"/>
        <family val="2"/>
        <charset val="136"/>
      </rPr>
      <t>】資訊檢核</t>
    </r>
    <phoneticPr fontId="9" type="noConversion"/>
  </si>
  <si>
    <r>
      <rPr>
        <sz val="10"/>
        <color indexed="8"/>
        <rFont val="微軟正黑體"/>
        <family val="2"/>
        <charset val="136"/>
      </rPr>
      <t>【</t>
    </r>
    <r>
      <rPr>
        <sz val="10"/>
        <color indexed="8"/>
        <rFont val="Arial"/>
        <family val="2"/>
      </rPr>
      <t>ACCNTR1</t>
    </r>
    <r>
      <rPr>
        <sz val="10"/>
        <color indexed="8"/>
        <rFont val="微軟正黑體"/>
        <family val="2"/>
        <charset val="136"/>
      </rPr>
      <t>】資訊檢核</t>
    </r>
    <phoneticPr fontId="9" type="noConversion"/>
  </si>
  <si>
    <r>
      <rPr>
        <sz val="10"/>
        <color indexed="8"/>
        <rFont val="微軟正黑體"/>
        <family val="2"/>
        <charset val="136"/>
      </rPr>
      <t>【</t>
    </r>
    <r>
      <rPr>
        <sz val="10"/>
        <color indexed="8"/>
        <rFont val="Arial"/>
        <family val="2"/>
      </rPr>
      <t>ACCNTR2</t>
    </r>
    <r>
      <rPr>
        <sz val="10"/>
        <color indexed="8"/>
        <rFont val="微軟正黑體"/>
        <family val="2"/>
        <charset val="136"/>
      </rPr>
      <t>】資訊檢核</t>
    </r>
    <phoneticPr fontId="9" type="noConversion"/>
  </si>
  <si>
    <r>
      <rPr>
        <sz val="10"/>
        <color indexed="10"/>
        <rFont val="微軟正黑體"/>
        <family val="2"/>
        <charset val="136"/>
      </rPr>
      <t>▲</t>
    </r>
    <r>
      <rPr>
        <sz val="10"/>
        <color indexed="8"/>
        <rFont val="Arial"/>
        <family val="2"/>
      </rPr>
      <t xml:space="preserve"> </t>
    </r>
    <r>
      <rPr>
        <sz val="10"/>
        <color indexed="8"/>
        <rFont val="微軟正黑體"/>
        <family val="2"/>
        <charset val="136"/>
      </rPr>
      <t>年齡限制</t>
    </r>
    <phoneticPr fontId="9" type="noConversion"/>
  </si>
  <si>
    <r>
      <rPr>
        <sz val="12"/>
        <color theme="0"/>
        <rFont val="微軟正黑體"/>
        <family val="2"/>
        <charset val="136"/>
      </rPr>
      <t>主約商品名稱</t>
    </r>
    <phoneticPr fontId="3" type="noConversion"/>
  </si>
  <si>
    <r>
      <rPr>
        <sz val="12"/>
        <color theme="0"/>
        <rFont val="微軟正黑體"/>
        <family val="2"/>
        <charset val="136"/>
      </rPr>
      <t>商品代號</t>
    </r>
    <phoneticPr fontId="3" type="noConversion"/>
  </si>
  <si>
    <r>
      <rPr>
        <sz val="12"/>
        <color theme="0"/>
        <rFont val="微軟正黑體"/>
        <family val="2"/>
        <charset val="136"/>
      </rPr>
      <t>投保單位</t>
    </r>
    <phoneticPr fontId="3" type="noConversion"/>
  </si>
  <si>
    <r>
      <rPr>
        <sz val="12"/>
        <color theme="0"/>
        <rFont val="微軟正黑體"/>
        <family val="2"/>
        <charset val="136"/>
      </rPr>
      <t>費率表名稱</t>
    </r>
    <phoneticPr fontId="3" type="noConversion"/>
  </si>
  <si>
    <r>
      <rPr>
        <sz val="12"/>
        <color theme="0"/>
        <rFont val="微軟正黑體"/>
        <family val="2"/>
        <charset val="136"/>
      </rPr>
      <t>年期</t>
    </r>
    <phoneticPr fontId="3" type="noConversion"/>
  </si>
  <si>
    <r>
      <rPr>
        <sz val="12"/>
        <color theme="1"/>
        <rFont val="微軟正黑體"/>
        <family val="2"/>
        <charset val="136"/>
      </rPr>
      <t>保誠人壽醫吉御守一年期住院醫療健康保險</t>
    </r>
    <phoneticPr fontId="2" type="noConversion"/>
  </si>
  <si>
    <r>
      <rPr>
        <sz val="12"/>
        <color theme="1"/>
        <rFont val="微軟正黑體"/>
        <family val="2"/>
        <charset val="136"/>
      </rPr>
      <t>單位</t>
    </r>
    <phoneticPr fontId="2" type="noConversion"/>
  </si>
  <si>
    <r>
      <rPr>
        <sz val="12"/>
        <color theme="1"/>
        <rFont val="微軟正黑體"/>
        <family val="2"/>
        <charset val="136"/>
      </rPr>
      <t>保誠人壽薪享幸福定期健康保險</t>
    </r>
    <phoneticPr fontId="3" type="noConversion"/>
  </si>
  <si>
    <r>
      <rPr>
        <sz val="12"/>
        <color theme="1"/>
        <rFont val="微軟正黑體"/>
        <family val="2"/>
        <charset val="136"/>
      </rPr>
      <t>萬元</t>
    </r>
    <phoneticPr fontId="3" type="noConversion"/>
  </si>
  <si>
    <r>
      <rPr>
        <sz val="12"/>
        <color theme="1"/>
        <rFont val="微軟正黑體"/>
        <family val="2"/>
        <charset val="136"/>
      </rPr>
      <t>保誠人壽鑫幸福定期保險</t>
    </r>
    <phoneticPr fontId="3" type="noConversion"/>
  </si>
  <si>
    <r>
      <rPr>
        <sz val="12"/>
        <color theme="1"/>
        <rFont val="微軟正黑體"/>
        <family val="2"/>
        <charset val="136"/>
      </rPr>
      <t>保誠人壽倍感安心終身醫療健康保險</t>
    </r>
    <phoneticPr fontId="3" type="noConversion"/>
  </si>
  <si>
    <r>
      <rPr>
        <sz val="12"/>
        <color theme="1"/>
        <rFont val="微軟正黑體"/>
        <family val="2"/>
        <charset val="136"/>
      </rPr>
      <t>計劃</t>
    </r>
    <phoneticPr fontId="3" type="noConversion"/>
  </si>
  <si>
    <r>
      <rPr>
        <sz val="12"/>
        <color rgb="FFFF0000"/>
        <rFont val="微軟正黑體"/>
        <family val="2"/>
        <charset val="136"/>
      </rPr>
      <t>篩選完後主約：</t>
    </r>
    <phoneticPr fontId="2" type="noConversion"/>
  </si>
  <si>
    <r>
      <rPr>
        <sz val="12"/>
        <color theme="0"/>
        <rFont val="微軟正黑體"/>
        <family val="2"/>
        <charset val="136"/>
      </rPr>
      <t>保額單位</t>
    </r>
    <phoneticPr fontId="3" type="noConversion"/>
  </si>
  <si>
    <r>
      <rPr>
        <sz val="12"/>
        <color theme="0"/>
        <rFont val="微軟正黑體"/>
        <family val="2"/>
        <charset val="136"/>
      </rPr>
      <t>費率表</t>
    </r>
    <phoneticPr fontId="3" type="noConversion"/>
  </si>
  <si>
    <r>
      <rPr>
        <sz val="12"/>
        <color theme="0"/>
        <rFont val="微軟正黑體"/>
        <family val="2"/>
        <charset val="136"/>
      </rPr>
      <t>清單參數</t>
    </r>
    <phoneticPr fontId="3" type="noConversion"/>
  </si>
  <si>
    <r>
      <rPr>
        <sz val="12"/>
        <color theme="0"/>
        <rFont val="微軟正黑體"/>
        <family val="2"/>
        <charset val="136"/>
      </rPr>
      <t>附約商品名稱</t>
    </r>
    <phoneticPr fontId="3" type="noConversion"/>
  </si>
  <si>
    <r>
      <rPr>
        <sz val="12"/>
        <color theme="1"/>
        <rFont val="微軟正黑體"/>
        <family val="2"/>
        <charset val="136"/>
      </rPr>
      <t>保費分齡表對應</t>
    </r>
    <phoneticPr fontId="3" type="noConversion"/>
  </si>
  <si>
    <r>
      <rPr>
        <sz val="12"/>
        <color theme="1"/>
        <rFont val="微軟正黑體"/>
        <family val="2"/>
        <charset val="136"/>
      </rPr>
      <t>保誠人壽喜樂定期壽險附約</t>
    </r>
    <phoneticPr fontId="3" type="noConversion"/>
  </si>
  <si>
    <r>
      <rPr>
        <sz val="12"/>
        <color theme="1"/>
        <rFont val="微軟正黑體"/>
        <family val="2"/>
        <charset val="136"/>
      </rPr>
      <t>保誠人壽新住院醫療限額給付健康保險附約</t>
    </r>
    <r>
      <rPr>
        <sz val="12"/>
        <color theme="1"/>
        <rFont val="Arial"/>
        <family val="2"/>
      </rPr>
      <t>(108)</t>
    </r>
    <phoneticPr fontId="3" type="noConversion"/>
  </si>
  <si>
    <r>
      <rPr>
        <sz val="12"/>
        <color theme="1"/>
        <rFont val="微軟正黑體"/>
        <family val="2"/>
        <charset val="136"/>
      </rPr>
      <t>保誠人壽一年定期重大疾病健康保險附約</t>
    </r>
    <r>
      <rPr>
        <sz val="12"/>
        <color theme="1"/>
        <rFont val="Arial"/>
        <family val="2"/>
      </rPr>
      <t>(</t>
    </r>
    <r>
      <rPr>
        <sz val="12"/>
        <color theme="1"/>
        <rFont val="微軟正黑體"/>
        <family val="2"/>
        <charset val="136"/>
      </rPr>
      <t>乙型</t>
    </r>
    <r>
      <rPr>
        <sz val="12"/>
        <color theme="1"/>
        <rFont val="Arial"/>
        <family val="2"/>
      </rPr>
      <t>)</t>
    </r>
    <phoneticPr fontId="3" type="noConversion"/>
  </si>
  <si>
    <r>
      <rPr>
        <sz val="12"/>
        <color theme="1"/>
        <rFont val="微軟正黑體"/>
        <family val="2"/>
        <charset val="136"/>
      </rPr>
      <t>保誠人壽人身意外傷害保險附約</t>
    </r>
    <r>
      <rPr>
        <sz val="12"/>
        <color theme="1"/>
        <rFont val="Arial"/>
        <family val="2"/>
      </rPr>
      <t>(111)</t>
    </r>
    <phoneticPr fontId="3" type="noConversion"/>
  </si>
  <si>
    <r>
      <rPr>
        <sz val="12"/>
        <color theme="1"/>
        <rFont val="微軟正黑體"/>
        <family val="2"/>
        <charset val="136"/>
      </rPr>
      <t>保誠人壽人身意外傷害住院醫療定額給付附加條款</t>
    </r>
    <phoneticPr fontId="3" type="noConversion"/>
  </si>
  <si>
    <r>
      <rPr>
        <sz val="12"/>
        <color theme="1"/>
        <rFont val="微軟正黑體"/>
        <family val="2"/>
        <charset val="136"/>
      </rPr>
      <t>保誠人壽傷害醫療保險給付附加條款</t>
    </r>
    <phoneticPr fontId="3" type="noConversion"/>
  </si>
  <si>
    <r>
      <rPr>
        <sz val="12"/>
        <color theme="1"/>
        <rFont val="微軟正黑體"/>
        <family val="2"/>
        <charset val="136"/>
      </rPr>
      <t>保誠人壽愛寶貝定期癌症健康保險附約</t>
    </r>
    <phoneticPr fontId="3" type="noConversion"/>
  </si>
  <si>
    <r>
      <rPr>
        <sz val="12"/>
        <color theme="1"/>
        <rFont val="微軟正黑體"/>
        <family val="2"/>
        <charset val="136"/>
      </rPr>
      <t>保誠人壽標靶守護防癌健康保險附約</t>
    </r>
    <phoneticPr fontId="3" type="noConversion"/>
  </si>
  <si>
    <r>
      <rPr>
        <sz val="12"/>
        <color theme="1"/>
        <rFont val="微軟正黑體"/>
        <family val="2"/>
        <charset val="136"/>
      </rPr>
      <t>計算及排序相關順序：</t>
    </r>
    <phoneticPr fontId="2" type="noConversion"/>
  </si>
  <si>
    <r>
      <rPr>
        <sz val="12"/>
        <color theme="0"/>
        <rFont val="微軟正黑體"/>
        <family val="2"/>
        <charset val="136"/>
      </rPr>
      <t>投保商品</t>
    </r>
    <phoneticPr fontId="3" type="noConversion"/>
  </si>
  <si>
    <r>
      <rPr>
        <sz val="12"/>
        <color theme="0"/>
        <rFont val="微軟正黑體"/>
        <family val="2"/>
        <charset val="136"/>
      </rPr>
      <t>投保順序</t>
    </r>
    <phoneticPr fontId="3" type="noConversion"/>
  </si>
  <si>
    <r>
      <rPr>
        <sz val="11"/>
        <color theme="0"/>
        <rFont val="微軟正黑體"/>
        <family val="2"/>
        <charset val="136"/>
      </rPr>
      <t>保費分齡表顯示順序</t>
    </r>
    <phoneticPr fontId="3" type="noConversion"/>
  </si>
  <si>
    <r>
      <rPr>
        <sz val="11"/>
        <color theme="0"/>
        <rFont val="微軟正黑體"/>
        <family val="2"/>
        <charset val="136"/>
      </rPr>
      <t>保費分齡表顯示商品名稱</t>
    </r>
    <phoneticPr fontId="3" type="noConversion"/>
  </si>
  <si>
    <r>
      <rPr>
        <sz val="11"/>
        <color theme="0"/>
        <rFont val="微軟正黑體"/>
        <family val="2"/>
        <charset val="136"/>
      </rPr>
      <t>保費分齡表顯示代號</t>
    </r>
    <phoneticPr fontId="3" type="noConversion"/>
  </si>
  <si>
    <r>
      <rPr>
        <sz val="11"/>
        <color theme="0"/>
        <rFont val="微軟正黑體"/>
        <family val="2"/>
        <charset val="136"/>
      </rPr>
      <t>顯示年期</t>
    </r>
    <phoneticPr fontId="3" type="noConversion"/>
  </si>
  <si>
    <r>
      <rPr>
        <sz val="11"/>
        <color theme="0"/>
        <rFont val="微軟正黑體"/>
        <family val="2"/>
        <charset val="136"/>
      </rPr>
      <t>顯示保額</t>
    </r>
    <r>
      <rPr>
        <sz val="11"/>
        <color theme="0"/>
        <rFont val="Arial"/>
        <family val="2"/>
      </rPr>
      <t>/</t>
    </r>
    <r>
      <rPr>
        <sz val="11"/>
        <color theme="0"/>
        <rFont val="微軟正黑體"/>
        <family val="2"/>
        <charset val="136"/>
      </rPr>
      <t>單位</t>
    </r>
    <r>
      <rPr>
        <sz val="11"/>
        <color theme="0"/>
        <rFont val="Arial"/>
        <family val="2"/>
      </rPr>
      <t>/</t>
    </r>
    <r>
      <rPr>
        <sz val="11"/>
        <color theme="0"/>
        <rFont val="微軟正黑體"/>
        <family val="2"/>
        <charset val="136"/>
      </rPr>
      <t>計劃</t>
    </r>
    <phoneticPr fontId="3" type="noConversion"/>
  </si>
  <si>
    <r>
      <rPr>
        <sz val="11"/>
        <color theme="0"/>
        <rFont val="微軟正黑體"/>
        <family val="2"/>
        <charset val="136"/>
      </rPr>
      <t>顯示保額</t>
    </r>
    <r>
      <rPr>
        <sz val="11"/>
        <color theme="0"/>
        <rFont val="Arial"/>
        <family val="2"/>
      </rPr>
      <t>(</t>
    </r>
    <r>
      <rPr>
        <sz val="11"/>
        <color theme="0"/>
        <rFont val="微軟正黑體"/>
        <family val="2"/>
        <charset val="136"/>
      </rPr>
      <t>不含單位</t>
    </r>
    <r>
      <rPr>
        <sz val="11"/>
        <color theme="0"/>
        <rFont val="Arial"/>
        <family val="2"/>
      </rPr>
      <t>)</t>
    </r>
    <phoneticPr fontId="3" type="noConversion"/>
  </si>
  <si>
    <r>
      <rPr>
        <sz val="11"/>
        <color theme="0"/>
        <rFont val="微軟正黑體"/>
        <family val="2"/>
        <charset val="136"/>
      </rPr>
      <t>投保年齡起</t>
    </r>
    <phoneticPr fontId="3" type="noConversion"/>
  </si>
  <si>
    <r>
      <rPr>
        <sz val="11"/>
        <color theme="0"/>
        <rFont val="微軟正黑體"/>
        <family val="2"/>
        <charset val="136"/>
      </rPr>
      <t>投保年齡迄</t>
    </r>
    <phoneticPr fontId="3" type="noConversion"/>
  </si>
  <si>
    <r>
      <rPr>
        <sz val="11"/>
        <color theme="0"/>
        <rFont val="微軟正黑體"/>
        <family val="2"/>
        <charset val="136"/>
      </rPr>
      <t>分齡表最大險種顯示數</t>
    </r>
    <phoneticPr fontId="2" type="noConversion"/>
  </si>
  <si>
    <r>
      <rPr>
        <sz val="11"/>
        <color theme="0"/>
        <rFont val="微軟正黑體"/>
        <family val="2"/>
        <charset val="136"/>
      </rPr>
      <t>分齡表最大顯示年齡</t>
    </r>
    <phoneticPr fontId="3" type="noConversion"/>
  </si>
  <si>
    <r>
      <rPr>
        <sz val="10"/>
        <color indexed="8"/>
        <rFont val="微軟正黑體"/>
        <family val="2"/>
        <charset val="136"/>
      </rPr>
      <t>年齡</t>
    </r>
    <r>
      <rPr>
        <sz val="10"/>
        <color rgb="FF000000"/>
        <rFont val="微軟正黑體"/>
        <family val="2"/>
        <charset val="136"/>
      </rPr>
      <t>檢核</t>
    </r>
    <phoneticPr fontId="9" type="noConversion"/>
  </si>
  <si>
    <r>
      <rPr>
        <sz val="11"/>
        <color rgb="FF000000"/>
        <rFont val="微軟正黑體"/>
        <family val="2"/>
        <charset val="136"/>
      </rPr>
      <t>下表僅提供保險年齡</t>
    </r>
    <r>
      <rPr>
        <sz val="11"/>
        <color rgb="FF000000"/>
        <rFont val="Arial"/>
        <family val="2"/>
      </rPr>
      <t>16-65</t>
    </r>
    <r>
      <rPr>
        <sz val="11"/>
        <color rgb="FF000000"/>
        <rFont val="微軟正黑體"/>
        <family val="2"/>
        <charset val="136"/>
      </rPr>
      <t>歲試算結果；保險年齡未達</t>
    </r>
    <r>
      <rPr>
        <sz val="11"/>
        <color rgb="FF000000"/>
        <rFont val="Arial"/>
        <family val="2"/>
      </rPr>
      <t>16</t>
    </r>
    <r>
      <rPr>
        <sz val="11"/>
        <color rgb="FF000000"/>
        <rFont val="微軟正黑體"/>
        <family val="2"/>
        <charset val="136"/>
      </rPr>
      <t>歲及</t>
    </r>
    <r>
      <rPr>
        <sz val="11"/>
        <color rgb="FF000000"/>
        <rFont val="Arial"/>
        <family val="2"/>
      </rPr>
      <t>66</t>
    </r>
    <r>
      <rPr>
        <sz val="11"/>
        <color rgb="FF000000"/>
        <rFont val="微軟正黑體"/>
        <family val="2"/>
        <charset val="136"/>
      </rPr>
      <t>歲以上保費試算結果，請參閱其他之保費分齡表試算內容。</t>
    </r>
    <phoneticPr fontId="9" type="noConversion"/>
  </si>
  <si>
    <r>
      <rPr>
        <sz val="11"/>
        <color rgb="FF000000"/>
        <rFont val="微軟正黑體"/>
        <family val="2"/>
        <charset val="136"/>
      </rPr>
      <t>下表僅提供保險年齡</t>
    </r>
    <r>
      <rPr>
        <sz val="11"/>
        <color rgb="FF000000"/>
        <rFont val="Arial"/>
        <family val="2"/>
      </rPr>
      <t>66</t>
    </r>
    <r>
      <rPr>
        <sz val="11"/>
        <color rgb="FF000000"/>
        <rFont val="微軟正黑體"/>
        <family val="2"/>
        <charset val="136"/>
      </rPr>
      <t>歲以上之試算結果；保險年齡</t>
    </r>
    <r>
      <rPr>
        <sz val="11"/>
        <color rgb="FF000000"/>
        <rFont val="Arial"/>
        <family val="2"/>
      </rPr>
      <t>65</t>
    </r>
    <r>
      <rPr>
        <sz val="11"/>
        <color rgb="FF000000"/>
        <rFont val="微軟正黑體"/>
        <family val="2"/>
        <charset val="136"/>
      </rPr>
      <t>歲以下保費試算結果，請參閱其他之保費分齡表試算內容。</t>
    </r>
    <phoneticPr fontId="9" type="noConversion"/>
  </si>
  <si>
    <r>
      <rPr>
        <sz val="11"/>
        <color rgb="FF000000"/>
        <rFont val="微軟正黑體"/>
        <family val="2"/>
        <charset val="136"/>
      </rPr>
      <t>下表僅提供保險年齡</t>
    </r>
    <r>
      <rPr>
        <sz val="11"/>
        <color rgb="FF000000"/>
        <rFont val="Arial"/>
        <family val="2"/>
      </rPr>
      <t>0~15</t>
    </r>
    <r>
      <rPr>
        <sz val="11"/>
        <color rgb="FF000000"/>
        <rFont val="微軟正黑體"/>
        <family val="2"/>
        <charset val="136"/>
      </rPr>
      <t>歲試算結果</t>
    </r>
    <r>
      <rPr>
        <sz val="11"/>
        <color rgb="FF000000"/>
        <rFont val="Arial"/>
        <family val="2"/>
      </rPr>
      <t>(</t>
    </r>
    <r>
      <rPr>
        <sz val="11"/>
        <color rgb="FF000000"/>
        <rFont val="微軟正黑體"/>
        <family val="2"/>
        <charset val="136"/>
      </rPr>
      <t>但如選擇</t>
    </r>
    <r>
      <rPr>
        <u/>
        <sz val="11"/>
        <color rgb="FF000000"/>
        <rFont val="微軟正黑體"/>
        <family val="2"/>
        <charset val="136"/>
      </rPr>
      <t>人身意外傷害保險附約</t>
    </r>
    <r>
      <rPr>
        <u/>
        <sz val="11"/>
        <color rgb="FF000000"/>
        <rFont val="Arial"/>
        <family val="2"/>
      </rPr>
      <t>(111)</t>
    </r>
    <r>
      <rPr>
        <sz val="11"/>
        <color rgb="FF000000"/>
        <rFont val="微軟正黑體"/>
        <family val="2"/>
        <charset val="136"/>
      </rPr>
      <t>，則不含該附約</t>
    </r>
    <r>
      <rPr>
        <sz val="11"/>
        <color rgb="FF000000"/>
        <rFont val="Arial"/>
        <family val="2"/>
      </rPr>
      <t>15</t>
    </r>
    <r>
      <rPr>
        <sz val="11"/>
        <color rgb="FF000000"/>
        <rFont val="微軟正黑體"/>
        <family val="2"/>
        <charset val="136"/>
      </rPr>
      <t>足歲試算結果</t>
    </r>
    <r>
      <rPr>
        <sz val="11"/>
        <color rgb="FF000000"/>
        <rFont val="Arial"/>
        <family val="2"/>
      </rPr>
      <t>)</t>
    </r>
    <r>
      <rPr>
        <sz val="11"/>
        <color rgb="FF000000"/>
        <rFont val="微軟正黑體"/>
        <family val="2"/>
        <charset val="136"/>
      </rPr>
      <t>；保險年齡</t>
    </r>
    <r>
      <rPr>
        <sz val="11"/>
        <color rgb="FF000000"/>
        <rFont val="Arial"/>
        <family val="2"/>
      </rPr>
      <t>16</t>
    </r>
    <r>
      <rPr>
        <sz val="11"/>
        <color rgb="FF000000"/>
        <rFont val="微軟正黑體"/>
        <family val="2"/>
        <charset val="136"/>
      </rPr>
      <t>歲以上保費試算結果，請參閱其他之保費分齡表試算內容。</t>
    </r>
    <phoneticPr fontId="9" type="noConversion"/>
  </si>
  <si>
    <t>保誠人壽醫保眼福終身健康保險</t>
  </si>
  <si>
    <t>仟元</t>
    <phoneticPr fontId="3" type="noConversion"/>
  </si>
  <si>
    <t>醫保眼福</t>
    <phoneticPr fontId="9" type="noConversion"/>
  </si>
  <si>
    <t>ASGNLB1_NP</t>
    <phoneticPr fontId="3" type="noConversion"/>
  </si>
  <si>
    <t>ASGNLB1</t>
    <phoneticPr fontId="3" type="noConversion"/>
  </si>
  <si>
    <r>
      <rPr>
        <sz val="10"/>
        <color theme="1"/>
        <rFont val="微軟正黑體"/>
        <family val="2"/>
        <charset val="136"/>
      </rPr>
      <t>男性</t>
    </r>
    <phoneticPr fontId="9" type="noConversion"/>
  </si>
  <si>
    <r>
      <rPr>
        <sz val="10"/>
        <color theme="1"/>
        <rFont val="微軟正黑體"/>
        <family val="2"/>
        <charset val="136"/>
      </rPr>
      <t>女性</t>
    </r>
    <phoneticPr fontId="9" type="noConversion"/>
  </si>
  <si>
    <r>
      <rPr>
        <sz val="10"/>
        <color theme="1"/>
        <rFont val="微軟正黑體"/>
        <family val="2"/>
        <charset val="136"/>
      </rPr>
      <t>年齡</t>
    </r>
    <r>
      <rPr>
        <sz val="10"/>
        <color theme="1"/>
        <rFont val="Arial"/>
        <family val="2"/>
      </rPr>
      <t>\</t>
    </r>
    <r>
      <rPr>
        <sz val="10"/>
        <color theme="1"/>
        <rFont val="微軟正黑體"/>
        <family val="2"/>
        <charset val="136"/>
      </rPr>
      <t>保額</t>
    </r>
    <phoneticPr fontId="9" type="noConversion"/>
  </si>
  <si>
    <r>
      <rPr>
        <sz val="9"/>
        <color theme="0" tint="-0.249977111117893"/>
        <rFont val="微軟正黑體"/>
        <family val="2"/>
        <charset val="136"/>
      </rPr>
      <t>被保人群組</t>
    </r>
    <phoneticPr fontId="14" type="noConversion"/>
  </si>
  <si>
    <r>
      <rPr>
        <sz val="9"/>
        <color theme="0" tint="-0.249977111117893"/>
        <rFont val="微軟正黑體"/>
        <family val="2"/>
        <charset val="136"/>
      </rPr>
      <t>附約群組</t>
    </r>
    <phoneticPr fontId="14" type="noConversion"/>
  </si>
  <si>
    <r>
      <rPr>
        <sz val="9"/>
        <color theme="0" tint="-0.249977111117893"/>
        <rFont val="微軟正黑體"/>
        <family val="2"/>
        <charset val="136"/>
      </rPr>
      <t>保額</t>
    </r>
    <r>
      <rPr>
        <sz val="9"/>
        <color theme="0" tint="-0.249977111117893"/>
        <rFont val="Arial"/>
        <family val="2"/>
      </rPr>
      <t>/</t>
    </r>
    <r>
      <rPr>
        <sz val="9"/>
        <color theme="0" tint="-0.249977111117893"/>
        <rFont val="微軟正黑體"/>
        <family val="2"/>
        <charset val="136"/>
      </rPr>
      <t>保費檢核</t>
    </r>
    <phoneticPr fontId="14" type="noConversion"/>
  </si>
  <si>
    <r>
      <t>BNLRN1</t>
    </r>
    <r>
      <rPr>
        <sz val="9"/>
        <color theme="0" tint="-0.249977111117893"/>
        <rFont val="微軟正黑體"/>
        <family val="2"/>
        <charset val="136"/>
      </rPr>
      <t>檢核</t>
    </r>
    <phoneticPr fontId="14" type="noConversion"/>
  </si>
  <si>
    <r>
      <rPr>
        <sz val="9"/>
        <color theme="0" tint="-0.249977111117893"/>
        <rFont val="微軟正黑體"/>
        <family val="2"/>
        <charset val="136"/>
      </rPr>
      <t>年齡限制</t>
    </r>
    <phoneticPr fontId="14" type="noConversion"/>
  </si>
  <si>
    <r>
      <t>BNLRN1</t>
    </r>
    <r>
      <rPr>
        <sz val="9"/>
        <color theme="0" tint="-0.249977111117893"/>
        <rFont val="微軟正黑體"/>
        <family val="2"/>
        <charset val="136"/>
      </rPr>
      <t>反灰</t>
    </r>
    <phoneticPr fontId="14" type="noConversion"/>
  </si>
  <si>
    <r>
      <rPr>
        <sz val="9"/>
        <color theme="0" tint="-0.249977111117893"/>
        <rFont val="微軟正黑體"/>
        <family val="2"/>
        <charset val="136"/>
      </rPr>
      <t>年期檢核</t>
    </r>
    <phoneticPr fontId="14" type="noConversion"/>
  </si>
  <si>
    <r>
      <rPr>
        <sz val="9"/>
        <color theme="0" tint="-0.249977111117893"/>
        <rFont val="微軟正黑體"/>
        <family val="2"/>
        <charset val="136"/>
      </rPr>
      <t>職業等級檢核</t>
    </r>
    <phoneticPr fontId="14" type="noConversion"/>
  </si>
  <si>
    <r>
      <t>AMRNTR1</t>
    </r>
    <r>
      <rPr>
        <sz val="9"/>
        <color theme="0" tint="-0.249977111117893"/>
        <rFont val="微軟正黑體"/>
        <family val="2"/>
        <charset val="136"/>
      </rPr>
      <t>檢核</t>
    </r>
    <phoneticPr fontId="14" type="noConversion"/>
  </si>
  <si>
    <r>
      <rPr>
        <sz val="9"/>
        <color theme="0" tint="-0.249977111117893"/>
        <rFont val="微軟正黑體"/>
        <family val="2"/>
        <charset val="136"/>
      </rPr>
      <t>主約檢核</t>
    </r>
    <phoneticPr fontId="14" type="noConversion"/>
  </si>
  <si>
    <r>
      <t>AMRNTR1</t>
    </r>
    <r>
      <rPr>
        <sz val="9"/>
        <color theme="0" tint="-0.249977111117893"/>
        <rFont val="微軟正黑體"/>
        <family val="2"/>
        <charset val="136"/>
      </rPr>
      <t>反灰</t>
    </r>
    <phoneticPr fontId="14" type="noConversion"/>
  </si>
  <si>
    <r>
      <rPr>
        <sz val="9"/>
        <color theme="0" tint="-0.249977111117893"/>
        <rFont val="微軟正黑體"/>
        <family val="2"/>
        <charset val="136"/>
      </rPr>
      <t>保費分齡表對應</t>
    </r>
    <phoneticPr fontId="14" type="noConversion"/>
  </si>
  <si>
    <r>
      <t>ADDNTR1</t>
    </r>
    <r>
      <rPr>
        <sz val="9"/>
        <color theme="0" tint="-0.249977111117893"/>
        <rFont val="微軟正黑體"/>
        <family val="2"/>
        <charset val="136"/>
      </rPr>
      <t>檢核</t>
    </r>
    <phoneticPr fontId="14" type="noConversion"/>
  </si>
  <si>
    <r>
      <t>ADDNTR1</t>
    </r>
    <r>
      <rPr>
        <sz val="9"/>
        <color theme="0" tint="-0.249977111117893"/>
        <rFont val="微軟正黑體"/>
        <family val="2"/>
        <charset val="136"/>
      </rPr>
      <t>反灰</t>
    </r>
    <phoneticPr fontId="14" type="noConversion"/>
  </si>
  <si>
    <r>
      <t>CPAA</t>
    </r>
    <r>
      <rPr>
        <sz val="9"/>
        <color theme="0" tint="-0.249977111117893"/>
        <rFont val="微軟正黑體"/>
        <family val="2"/>
        <charset val="136"/>
      </rPr>
      <t>檢核</t>
    </r>
    <phoneticPr fontId="14" type="noConversion"/>
  </si>
  <si>
    <r>
      <t>CPAA</t>
    </r>
    <r>
      <rPr>
        <sz val="9"/>
        <color theme="0" tint="-0.249977111117893"/>
        <rFont val="微軟正黑體"/>
        <family val="2"/>
        <charset val="136"/>
      </rPr>
      <t>反灰</t>
    </r>
    <phoneticPr fontId="14" type="noConversion"/>
  </si>
  <si>
    <r>
      <t>ML</t>
    </r>
    <r>
      <rPr>
        <sz val="9"/>
        <color theme="0" tint="-0.249977111117893"/>
        <rFont val="微軟正黑體"/>
        <family val="2"/>
        <charset val="136"/>
      </rPr>
      <t>檢核</t>
    </r>
    <phoneticPr fontId="14" type="noConversion"/>
  </si>
  <si>
    <r>
      <t>ML</t>
    </r>
    <r>
      <rPr>
        <sz val="9"/>
        <color theme="0" tint="-0.249977111117893"/>
        <rFont val="微軟正黑體"/>
        <family val="2"/>
        <charset val="136"/>
      </rPr>
      <t>反灰</t>
    </r>
    <phoneticPr fontId="14" type="noConversion"/>
  </si>
  <si>
    <r>
      <t>MT</t>
    </r>
    <r>
      <rPr>
        <sz val="9"/>
        <color theme="0" tint="-0.249977111117893"/>
        <rFont val="微軟正黑體"/>
        <family val="2"/>
        <charset val="136"/>
      </rPr>
      <t>檢核</t>
    </r>
    <phoneticPr fontId="14" type="noConversion"/>
  </si>
  <si>
    <r>
      <t>MT</t>
    </r>
    <r>
      <rPr>
        <sz val="9"/>
        <color theme="0" tint="-0.249977111117893"/>
        <rFont val="微軟正黑體"/>
        <family val="2"/>
        <charset val="136"/>
      </rPr>
      <t>反灰</t>
    </r>
    <phoneticPr fontId="14" type="noConversion"/>
  </si>
  <si>
    <r>
      <t>ACCNTR1</t>
    </r>
    <r>
      <rPr>
        <sz val="9"/>
        <color theme="0" tint="-0.249977111117893"/>
        <rFont val="微軟正黑體"/>
        <family val="2"/>
        <charset val="136"/>
      </rPr>
      <t>檢核</t>
    </r>
    <phoneticPr fontId="14" type="noConversion"/>
  </si>
  <si>
    <r>
      <t>ACCNTR1</t>
    </r>
    <r>
      <rPr>
        <sz val="9"/>
        <color theme="0" tint="-0.249977111117893"/>
        <rFont val="微軟正黑體"/>
        <family val="2"/>
        <charset val="136"/>
      </rPr>
      <t>反灰</t>
    </r>
    <phoneticPr fontId="14" type="noConversion"/>
  </si>
  <si>
    <r>
      <t>ACCNTR2</t>
    </r>
    <r>
      <rPr>
        <sz val="9"/>
        <color theme="0" tint="-0.249977111117893"/>
        <rFont val="微軟正黑體"/>
        <family val="2"/>
        <charset val="136"/>
      </rPr>
      <t>檢核</t>
    </r>
    <phoneticPr fontId="14" type="noConversion"/>
  </si>
  <si>
    <r>
      <t>ACCNTR2</t>
    </r>
    <r>
      <rPr>
        <sz val="9"/>
        <color theme="0" tint="-0.249977111117893"/>
        <rFont val="微軟正黑體"/>
        <family val="2"/>
        <charset val="136"/>
      </rPr>
      <t>反灰</t>
    </r>
    <phoneticPr fontId="14" type="noConversion"/>
  </si>
  <si>
    <t>睛元保</t>
    <phoneticPr fontId="9" type="noConversion"/>
  </si>
  <si>
    <t>保誠人壽睛元保終身健康保險</t>
    <phoneticPr fontId="3" type="noConversion"/>
  </si>
  <si>
    <t>ASGNLB2</t>
    <phoneticPr fontId="3" type="noConversion"/>
  </si>
  <si>
    <t>ASGNLB2_NP</t>
    <phoneticPr fontId="3" type="noConversion"/>
  </si>
  <si>
    <t>AHINTB2</t>
    <phoneticPr fontId="3" type="noConversion"/>
  </si>
  <si>
    <t>仟元</t>
  </si>
  <si>
    <t>照護有術</t>
    <phoneticPr fontId="9" type="noConversion"/>
  </si>
  <si>
    <t>保誠人壽倍感安心終身醫療健康保險</t>
  </si>
  <si>
    <t>AHINTB2_NP</t>
  </si>
  <si>
    <r>
      <rPr>
        <sz val="10"/>
        <color rgb="FFFF0000"/>
        <rFont val="Segoe UI Symbol"/>
        <family val="2"/>
      </rPr>
      <t>▲</t>
    </r>
    <r>
      <rPr>
        <sz val="10"/>
        <color rgb="FFFF0000"/>
        <rFont val="Arial"/>
        <family val="2"/>
      </rPr>
      <t xml:space="preserve"> </t>
    </r>
    <r>
      <rPr>
        <sz val="10"/>
        <color rgb="FFFF0000"/>
        <rFont val="微軟正黑體"/>
        <family val="2"/>
        <charset val="136"/>
      </rPr>
      <t>照護有術</t>
    </r>
    <r>
      <rPr>
        <sz val="10"/>
        <color rgb="FFFF0000"/>
        <rFont val="Arial"/>
        <family val="2"/>
      </rPr>
      <t>20-29</t>
    </r>
    <r>
      <rPr>
        <sz val="10"/>
        <color rgb="FFFF0000"/>
        <rFont val="微軟正黑體"/>
        <family val="2"/>
        <charset val="136"/>
      </rPr>
      <t>顯示判斷</t>
    </r>
    <phoneticPr fontId="2" type="noConversion"/>
  </si>
  <si>
    <r>
      <rPr>
        <sz val="12"/>
        <color theme="1"/>
        <rFont val="微軟正黑體"/>
        <family val="2"/>
        <charset val="136"/>
      </rPr>
      <t>保誠人壽人身意外傷害保險附約</t>
    </r>
    <r>
      <rPr>
        <sz val="12"/>
        <color theme="1"/>
        <rFont val="Arial"/>
        <family val="2"/>
      </rPr>
      <t xml:space="preserve">(111)            </t>
    </r>
    <r>
      <rPr>
        <sz val="12"/>
        <color rgb="FFFF0000"/>
        <rFont val="微軟正黑體"/>
        <family val="2"/>
        <charset val="136"/>
      </rPr>
      <t>※</t>
    </r>
    <r>
      <rPr>
        <sz val="12"/>
        <color rgb="FFFF0000"/>
        <rFont val="Arial"/>
        <family val="2"/>
      </rPr>
      <t>0-15</t>
    </r>
    <r>
      <rPr>
        <sz val="12"/>
        <color rgb="FFFF0000"/>
        <rFont val="微軟正黑體"/>
        <family val="2"/>
        <charset val="136"/>
      </rPr>
      <t>歲</t>
    </r>
    <phoneticPr fontId="3" type="noConversion"/>
  </si>
  <si>
    <r>
      <rPr>
        <sz val="12"/>
        <color theme="1"/>
        <rFont val="微軟正黑體"/>
        <family val="2"/>
        <charset val="136"/>
      </rPr>
      <t>保誠人壽人身意外傷害保險附約</t>
    </r>
    <r>
      <rPr>
        <sz val="12"/>
        <color theme="1"/>
        <rFont val="Arial"/>
        <family val="2"/>
      </rPr>
      <t xml:space="preserve">(111)            </t>
    </r>
    <r>
      <rPr>
        <sz val="12"/>
        <color rgb="FFFF0000"/>
        <rFont val="微軟正黑體"/>
        <family val="2"/>
        <charset val="136"/>
      </rPr>
      <t>※</t>
    </r>
    <r>
      <rPr>
        <sz val="12"/>
        <color rgb="FFFF0000"/>
        <rFont val="Arial"/>
        <family val="2"/>
      </rPr>
      <t>16-65</t>
    </r>
    <r>
      <rPr>
        <sz val="12"/>
        <color rgb="FFFF0000"/>
        <rFont val="微軟正黑體"/>
        <family val="2"/>
        <charset val="136"/>
      </rPr>
      <t>歲</t>
    </r>
    <phoneticPr fontId="3" type="noConversion"/>
  </si>
  <si>
    <r>
      <rPr>
        <sz val="12"/>
        <color theme="1"/>
        <rFont val="微軟正黑體"/>
        <family val="2"/>
        <charset val="136"/>
      </rPr>
      <t>保誠人壽人身意外傷害保險附約</t>
    </r>
    <r>
      <rPr>
        <sz val="12"/>
        <color theme="1"/>
        <rFont val="Arial"/>
        <family val="2"/>
      </rPr>
      <t xml:space="preserve">(111)            </t>
    </r>
    <r>
      <rPr>
        <sz val="12"/>
        <color rgb="FFFF0000"/>
        <rFont val="微軟正黑體"/>
        <family val="2"/>
        <charset val="136"/>
      </rPr>
      <t>※</t>
    </r>
    <r>
      <rPr>
        <sz val="12"/>
        <color rgb="FFFF0000"/>
        <rFont val="Arial"/>
        <family val="2"/>
      </rPr>
      <t>66-70</t>
    </r>
    <r>
      <rPr>
        <sz val="12"/>
        <color rgb="FFFF0000"/>
        <rFont val="微軟正黑體"/>
        <family val="2"/>
        <charset val="136"/>
      </rPr>
      <t>歲</t>
    </r>
    <phoneticPr fontId="3" type="noConversion"/>
  </si>
  <si>
    <t>愛要守護
ACCNTR3</t>
    <phoneticPr fontId="9" type="noConversion"/>
  </si>
  <si>
    <t>ACCNTR3</t>
  </si>
  <si>
    <t>保誠人壽照護有術定期健康保險</t>
    <phoneticPr fontId="3" type="noConversion"/>
  </si>
  <si>
    <t>ACCNTR3</t>
    <phoneticPr fontId="3" type="noConversion"/>
  </si>
  <si>
    <t>保誠人壽愛要守護防癌健康保險附約</t>
    <phoneticPr fontId="3" type="noConversion"/>
  </si>
  <si>
    <r>
      <rPr>
        <sz val="10"/>
        <color indexed="8"/>
        <rFont val="微軟正黑體"/>
        <family val="2"/>
        <charset val="136"/>
      </rPr>
      <t>【</t>
    </r>
    <r>
      <rPr>
        <sz val="10"/>
        <color indexed="8"/>
        <rFont val="Arial"/>
        <family val="2"/>
      </rPr>
      <t>ACCNTR3</t>
    </r>
    <r>
      <rPr>
        <sz val="10"/>
        <color indexed="8"/>
        <rFont val="微軟正黑體"/>
        <family val="2"/>
        <charset val="136"/>
      </rPr>
      <t>】資訊檢核</t>
    </r>
    <phoneticPr fontId="9" type="noConversion"/>
  </si>
  <si>
    <r>
      <t>ACCNTR3</t>
    </r>
    <r>
      <rPr>
        <sz val="9"/>
        <color theme="0" tint="-0.249977111117893"/>
        <rFont val="微軟正黑體"/>
        <family val="2"/>
        <charset val="136"/>
      </rPr>
      <t>檢核</t>
    </r>
    <phoneticPr fontId="14" type="noConversion"/>
  </si>
  <si>
    <r>
      <t>ACCNTR3</t>
    </r>
    <r>
      <rPr>
        <sz val="9"/>
        <color theme="0" tint="-0.249977111117893"/>
        <rFont val="微軟正黑體"/>
        <family val="2"/>
        <charset val="136"/>
      </rPr>
      <t>反灰</t>
    </r>
    <phoneticPr fontId="14" type="noConversion"/>
  </si>
  <si>
    <t>分齡表最小顯示年齡</t>
    <phoneticPr fontId="3" type="noConversion"/>
  </si>
  <si>
    <t>保誠人壽人身意外傷害保險附約(111)            ※16-65歲</t>
  </si>
  <si>
    <r>
      <rPr>
        <sz val="12"/>
        <color theme="1"/>
        <rFont val="微軟正黑體"/>
        <family val="2"/>
        <charset val="136"/>
      </rPr>
      <t>《</t>
    </r>
    <r>
      <rPr>
        <sz val="12"/>
        <color theme="1"/>
        <rFont val="Arial"/>
        <family val="2"/>
      </rPr>
      <t>V7.2</t>
    </r>
    <r>
      <rPr>
        <sz val="12"/>
        <color theme="1"/>
        <rFont val="微軟正黑體"/>
        <family val="2"/>
        <charset val="136"/>
      </rPr>
      <t>》</t>
    </r>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</si>
</sst>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_(* #,##0_);_(* \(#,##0\);_(* &quot;-&quot;_);_(@_)"/>
    <numFmt numFmtId="177" formatCode="_(* #,##0.00_);_(* \(#,##0.00\);_(* &quot;-&quot;??_);_(@_)"/>
    <numFmt numFmtId="178" formatCode="_(* #,##0_);_(* \(#,##0\);_(* &quot;-&quot;??_);_(@_)"/>
    <numFmt numFmtId="179" formatCode="0_);[Red]\(0\)"/>
  </numFmts>
  <fonts count="78">
    <font>
      <sz val="12"/>
      <color theme="1"/>
      <name val="新細明體"/>
      <family val="2"/>
      <charset val="136"/>
      <scheme val="minor"/>
    </font>
    <font>
      <sz val="12"/>
      <color theme="1"/>
      <name val="新細明體"/>
      <family val="2"/>
      <charset val="136"/>
      <scheme val="minor"/>
    </font>
    <font>
      <sz val="9"/>
      <name val="新細明體"/>
      <family val="2"/>
      <charset val="136"/>
      <scheme val="minor"/>
    </font>
    <font>
      <sz val="9"/>
      <name val="微軟正黑體"/>
      <family val="2"/>
      <charset val="136"/>
    </font>
    <font>
      <sz val="12"/>
      <color indexed="9"/>
      <name val="微軟正黑體"/>
      <family val="2"/>
      <charset val="136"/>
    </font>
    <font>
      <sz val="12"/>
      <color theme="0"/>
      <name val="微軟正黑體"/>
      <family val="2"/>
      <charset val="136"/>
    </font>
    <font>
      <sz val="12"/>
      <color theme="1"/>
      <name val="微軟正黑體"/>
      <family val="2"/>
      <charset val="136"/>
    </font>
    <font>
      <b/>
      <sz val="22"/>
      <color theme="1"/>
      <name val="微軟正黑體"/>
      <family val="2"/>
      <charset val="136"/>
    </font>
    <font>
      <b/>
      <sz val="12"/>
      <color theme="1"/>
      <name val="微軟正黑體"/>
      <family val="2"/>
      <charset val="136"/>
    </font>
    <font>
      <sz val="9"/>
      <name val="新細明體"/>
      <family val="1"/>
      <charset val="136"/>
    </font>
    <font>
      <b/>
      <sz val="12"/>
      <color theme="0"/>
      <name val="微軟正黑體"/>
      <family val="2"/>
      <charset val="136"/>
    </font>
    <font>
      <u/>
      <sz val="12"/>
      <color theme="10"/>
      <name val="新細明體"/>
      <family val="1"/>
      <charset val="136"/>
      <scheme val="minor"/>
    </font>
    <font>
      <sz val="11"/>
      <color indexed="8"/>
      <name val="Calibri"/>
      <family val="2"/>
    </font>
    <font>
      <sz val="12"/>
      <color theme="1"/>
      <name val="新細明體"/>
      <family val="1"/>
      <charset val="136"/>
      <scheme val="minor"/>
    </font>
    <font>
      <sz val="9"/>
      <name val="細明體"/>
      <family val="3"/>
      <charset val="136"/>
    </font>
    <font>
      <b/>
      <sz val="14"/>
      <color theme="1"/>
      <name val="微軟正黑體"/>
      <family val="2"/>
      <charset val="136"/>
    </font>
    <font>
      <b/>
      <sz val="14"/>
      <color indexed="8"/>
      <name val="微軟正黑體"/>
      <family val="2"/>
      <charset val="136"/>
    </font>
    <font>
      <sz val="10"/>
      <color theme="1"/>
      <name val="微軟正黑體"/>
      <family val="2"/>
      <charset val="136"/>
    </font>
    <font>
      <sz val="10"/>
      <color indexed="8"/>
      <name val="微軟正黑體"/>
      <family val="2"/>
      <charset val="136"/>
    </font>
    <font>
      <sz val="10"/>
      <color indexed="10"/>
      <name val="微軟正黑體"/>
      <family val="2"/>
      <charset val="136"/>
    </font>
    <font>
      <u/>
      <sz val="10"/>
      <name val="微軟正黑體"/>
      <family val="2"/>
      <charset val="136"/>
    </font>
    <font>
      <sz val="12"/>
      <color rgb="FFFF0000"/>
      <name val="微軟正黑體"/>
      <family val="2"/>
      <charset val="136"/>
    </font>
    <font>
      <sz val="11"/>
      <color theme="1"/>
      <name val="微軟正黑體"/>
      <family val="2"/>
      <charset val="136"/>
    </font>
    <font>
      <b/>
      <sz val="10"/>
      <color theme="1"/>
      <name val="微軟正黑體"/>
      <family val="2"/>
      <charset val="136"/>
    </font>
    <font>
      <b/>
      <sz val="10"/>
      <color indexed="8"/>
      <name val="微軟正黑體"/>
      <family val="2"/>
      <charset val="136"/>
    </font>
    <font>
      <b/>
      <sz val="14"/>
      <color indexed="9"/>
      <name val="微軟正黑體"/>
      <family val="2"/>
      <charset val="136"/>
    </font>
    <font>
      <sz val="10"/>
      <name val="微軟正黑體"/>
      <family val="2"/>
      <charset val="136"/>
    </font>
    <font>
      <b/>
      <sz val="10"/>
      <color indexed="9"/>
      <name val="微軟正黑體"/>
      <family val="2"/>
      <charset val="136"/>
    </font>
    <font>
      <b/>
      <sz val="10"/>
      <color theme="0"/>
      <name val="Arial"/>
      <family val="2"/>
    </font>
    <font>
      <sz val="10"/>
      <color theme="1"/>
      <name val="Arial"/>
      <family val="2"/>
    </font>
    <font>
      <sz val="12"/>
      <name val="Times New Roman"/>
      <family val="1"/>
    </font>
    <font>
      <sz val="12"/>
      <color indexed="8"/>
      <name val="新細明體"/>
      <family val="1"/>
      <charset val="136"/>
    </font>
    <font>
      <sz val="10"/>
      <color theme="0"/>
      <name val="微軟正黑體"/>
      <family val="2"/>
      <charset val="136"/>
    </font>
    <font>
      <sz val="12"/>
      <name val="新細明體"/>
      <family val="1"/>
      <charset val="136"/>
    </font>
    <font>
      <sz val="11"/>
      <color theme="0"/>
      <name val="微軟正黑體"/>
      <family val="2"/>
      <charset val="136"/>
    </font>
    <font>
      <b/>
      <sz val="20"/>
      <color rgb="FF000000"/>
      <name val="微軟正黑體"/>
      <family val="2"/>
      <charset val="136"/>
    </font>
    <font>
      <sz val="10"/>
      <color rgb="FF000000"/>
      <name val="微軟正黑體"/>
      <family val="2"/>
      <charset val="136"/>
    </font>
    <font>
      <sz val="11"/>
      <color rgb="FF000000"/>
      <name val="微軟正黑體"/>
      <family val="2"/>
      <charset val="136"/>
    </font>
    <font>
      <b/>
      <sz val="10"/>
      <color rgb="FFFFFFFF"/>
      <name val="細明體"/>
      <family val="3"/>
      <charset val="136"/>
    </font>
    <font>
      <sz val="12"/>
      <color theme="1"/>
      <name val="Arial"/>
      <family val="2"/>
    </font>
    <font>
      <sz val="12"/>
      <color theme="0"/>
      <name val="Arial"/>
      <family val="2"/>
    </font>
    <font>
      <b/>
      <u/>
      <sz val="12"/>
      <color theme="10"/>
      <name val="Arial"/>
      <family val="2"/>
    </font>
    <font>
      <sz val="14"/>
      <color rgb="FFFF0000"/>
      <name val="Arial"/>
      <family val="2"/>
    </font>
    <font>
      <b/>
      <sz val="20"/>
      <color rgb="FF000000"/>
      <name val="Arial"/>
      <family val="2"/>
    </font>
    <font>
      <sz val="12"/>
      <color rgb="FF000000"/>
      <name val="Arial"/>
      <family val="2"/>
    </font>
    <font>
      <sz val="10"/>
      <color rgb="FF000000"/>
      <name val="Arial"/>
      <family val="2"/>
    </font>
    <font>
      <sz val="11"/>
      <color rgb="FF196D39"/>
      <name val="Arial"/>
      <family val="2"/>
    </font>
    <font>
      <sz val="11"/>
      <color rgb="FF000000"/>
      <name val="Arial"/>
      <family val="2"/>
    </font>
    <font>
      <sz val="11"/>
      <color theme="1"/>
      <name val="Arial"/>
      <family val="2"/>
    </font>
    <font>
      <b/>
      <sz val="11"/>
      <color rgb="FF000000"/>
      <name val="Arial"/>
      <family val="2"/>
    </font>
    <font>
      <sz val="12"/>
      <color rgb="FFFF0000"/>
      <name val="Arial"/>
      <family val="2"/>
    </font>
    <font>
      <sz val="12"/>
      <color rgb="FFFF1919"/>
      <name val="Arial"/>
      <family val="2"/>
    </font>
    <font>
      <u/>
      <sz val="11"/>
      <color theme="10"/>
      <name val="Arial"/>
      <family val="2"/>
    </font>
    <font>
      <u/>
      <sz val="11"/>
      <color theme="10"/>
      <name val="微軟正黑體"/>
      <family val="2"/>
      <charset val="136"/>
    </font>
    <font>
      <b/>
      <sz val="14"/>
      <color theme="0"/>
      <name val="Arial"/>
      <family val="2"/>
    </font>
    <font>
      <b/>
      <sz val="12"/>
      <name val="Arial"/>
      <family val="2"/>
    </font>
    <font>
      <b/>
      <sz val="14"/>
      <color indexed="8"/>
      <name val="Arial"/>
      <family val="2"/>
    </font>
    <font>
      <b/>
      <sz val="14"/>
      <color theme="1"/>
      <name val="Arial"/>
      <family val="2"/>
    </font>
    <font>
      <sz val="10"/>
      <color indexed="8"/>
      <name val="Arial"/>
      <family val="2"/>
    </font>
    <font>
      <u/>
      <sz val="10"/>
      <name val="Arial"/>
      <family val="2"/>
    </font>
    <font>
      <sz val="10"/>
      <name val="Arial"/>
      <family val="2"/>
    </font>
    <font>
      <b/>
      <sz val="12"/>
      <color rgb="FFFF0000"/>
      <name val="Arial"/>
      <family val="2"/>
    </font>
    <font>
      <sz val="11"/>
      <color theme="0"/>
      <name val="Arial"/>
      <family val="2"/>
    </font>
    <font>
      <sz val="11"/>
      <color rgb="FF000000"/>
      <name val="Arial"/>
      <family val="2"/>
      <charset val="136"/>
    </font>
    <font>
      <u/>
      <sz val="11"/>
      <color rgb="FF000000"/>
      <name val="微軟正黑體"/>
      <family val="2"/>
      <charset val="136"/>
    </font>
    <font>
      <u/>
      <sz val="11"/>
      <color rgb="FF000000"/>
      <name val="Arial"/>
      <family val="2"/>
    </font>
    <font>
      <sz val="12"/>
      <color theme="1"/>
      <name val="Arial"/>
      <family val="2"/>
      <charset val="136"/>
    </font>
    <font>
      <sz val="12"/>
      <name val="Arial"/>
      <family val="2"/>
    </font>
    <font>
      <sz val="10"/>
      <color rgb="FFFF0000"/>
      <name val="Arial"/>
      <family val="2"/>
    </font>
    <font>
      <sz val="9"/>
      <color theme="0" tint="-0.249977111117893"/>
      <name val="Arial"/>
      <family val="2"/>
    </font>
    <font>
      <sz val="9"/>
      <color theme="0" tint="-0.249977111117893"/>
      <name val="微軟正黑體"/>
      <family val="2"/>
      <charset val="136"/>
    </font>
    <font>
      <sz val="12"/>
      <color theme="0" tint="-0.249977111117893"/>
      <name val="Arial"/>
      <family val="2"/>
    </font>
    <font>
      <sz val="12"/>
      <color theme="0" tint="-0.249977111117893"/>
      <name val="新細明體"/>
      <family val="2"/>
      <charset val="136"/>
      <scheme val="minor"/>
    </font>
    <font>
      <b/>
      <sz val="10"/>
      <color theme="0"/>
      <name val="新細明體"/>
      <family val="2"/>
      <charset val="136"/>
    </font>
    <font>
      <sz val="12"/>
      <color rgb="FFFF0000"/>
      <name val="新細明體"/>
      <family val="2"/>
      <charset val="136"/>
      <scheme val="minor"/>
    </font>
    <font>
      <sz val="10"/>
      <color rgb="FFFF0000"/>
      <name val="Segoe UI Symbol"/>
      <family val="2"/>
    </font>
    <font>
      <sz val="10"/>
      <color rgb="FFFF0000"/>
      <name val="微軟正黑體"/>
      <family val="2"/>
      <charset val="136"/>
    </font>
    <font>
      <sz val="10"/>
      <color indexed="8"/>
      <name val="Arial"/>
      <family val="2"/>
      <charset val="136"/>
    </font>
  </fonts>
  <fills count="22">
    <fill>
      <patternFill patternType="none"/>
    </fill>
    <fill>
      <patternFill patternType="gray125"/>
    </fill>
    <fill>
      <patternFill patternType="solid">
        <fgColor theme="0"/>
        <bgColor indexed="64"/>
      </patternFill>
    </fill>
    <fill>
      <patternFill patternType="solid">
        <fgColor indexed="62"/>
        <bgColor indexed="64"/>
      </patternFill>
    </fill>
    <fill>
      <patternFill patternType="solid">
        <fgColor rgb="FFFFCC9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000"/>
        <bgColor indexed="64"/>
      </patternFill>
    </fill>
    <fill>
      <patternFill patternType="solid">
        <fgColor rgb="FF0070C0"/>
        <bgColor indexed="64"/>
      </patternFill>
    </fill>
    <fill>
      <patternFill patternType="solid">
        <fgColor rgb="FF00B0F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4" tint="0.39997558519241921"/>
        <bgColor indexed="64"/>
      </patternFill>
    </fill>
    <fill>
      <patternFill patternType="solid">
        <fgColor rgb="FFFFDEBD"/>
        <bgColor rgb="FF000000"/>
      </patternFill>
    </fill>
    <fill>
      <patternFill patternType="solid">
        <fgColor rgb="FFFFDEBD"/>
        <bgColor indexed="64"/>
      </patternFill>
    </fill>
    <fill>
      <patternFill patternType="solid">
        <fgColor theme="0" tint="-0.34998626667073579"/>
        <bgColor indexed="64"/>
      </patternFill>
    </fill>
    <fill>
      <patternFill patternType="solid">
        <fgColor rgb="FFFFFF00"/>
        <bgColor indexed="64"/>
      </patternFill>
    </fill>
    <fill>
      <patternFill patternType="solid">
        <fgColor theme="2" tint="-0.249977111117893"/>
        <bgColor indexed="64"/>
      </patternFill>
    </fill>
    <fill>
      <patternFill patternType="solid">
        <fgColor indexed="9"/>
        <bgColor indexed="64"/>
      </patternFill>
    </fill>
    <fill>
      <patternFill patternType="solid">
        <fgColor indexed="9"/>
      </patternFill>
    </fill>
  </fills>
  <borders count="49">
    <border>
      <left/>
      <right/>
      <top/>
      <bottom/>
      <diagonal/>
    </border>
    <border>
      <left style="medium">
        <color theme="5"/>
      </left>
      <right/>
      <top style="medium">
        <color theme="5"/>
      </top>
      <bottom/>
      <diagonal/>
    </border>
    <border>
      <left/>
      <right style="medium">
        <color theme="5"/>
      </right>
      <top style="medium">
        <color theme="5"/>
      </top>
      <bottom/>
      <diagonal/>
    </border>
    <border>
      <left/>
      <right/>
      <top style="medium">
        <color theme="5"/>
      </top>
      <bottom/>
      <diagonal/>
    </border>
    <border>
      <left style="medium">
        <color theme="5"/>
      </left>
      <right/>
      <top/>
      <bottom/>
      <diagonal/>
    </border>
    <border>
      <left style="medium">
        <color theme="3" tint="0.59996337778862885"/>
      </left>
      <right style="medium">
        <color theme="3" tint="0.59996337778862885"/>
      </right>
      <top style="medium">
        <color theme="3" tint="0.59996337778862885"/>
      </top>
      <bottom style="medium">
        <color theme="3" tint="0.59996337778862885"/>
      </bottom>
      <diagonal/>
    </border>
    <border>
      <left/>
      <right style="medium">
        <color theme="5"/>
      </right>
      <top/>
      <bottom/>
      <diagonal/>
    </border>
    <border>
      <left/>
      <right/>
      <top/>
      <bottom style="medium">
        <color theme="5"/>
      </bottom>
      <diagonal/>
    </border>
    <border>
      <left/>
      <right style="medium">
        <color theme="5"/>
      </right>
      <top/>
      <bottom style="medium">
        <color theme="5"/>
      </bottom>
      <diagonal/>
    </border>
    <border>
      <left style="medium">
        <color theme="5"/>
      </left>
      <right/>
      <top/>
      <bottom style="medium">
        <color theme="5"/>
      </bottom>
      <diagonal/>
    </border>
    <border>
      <left style="medium">
        <color theme="3" tint="0.59996337778862885"/>
      </left>
      <right/>
      <top style="medium">
        <color theme="3" tint="0.59996337778862885"/>
      </top>
      <bottom style="medium">
        <color theme="3" tint="0.59996337778862885"/>
      </bottom>
      <diagonal/>
    </border>
    <border>
      <left/>
      <right style="medium">
        <color theme="3" tint="0.59996337778862885"/>
      </right>
      <top style="medium">
        <color theme="3" tint="0.59996337778862885"/>
      </top>
      <bottom style="medium">
        <color theme="3" tint="0.59996337778862885"/>
      </bottom>
      <diagonal/>
    </border>
    <border>
      <left/>
      <right/>
      <top style="medium">
        <color theme="3" tint="0.59996337778862885"/>
      </top>
      <bottom/>
      <diagonal/>
    </border>
    <border>
      <left/>
      <right/>
      <top/>
      <bottom style="thin">
        <color indexed="64"/>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ck">
        <color theme="0"/>
      </right>
      <top/>
      <bottom style="thin">
        <color indexed="64"/>
      </bottom>
      <diagonal/>
    </border>
    <border>
      <left style="thick">
        <color theme="0"/>
      </left>
      <right/>
      <top/>
      <bottom style="thin">
        <color indexed="64"/>
      </bottom>
      <diagonal/>
    </border>
    <border>
      <left/>
      <right style="thick">
        <color theme="0"/>
      </right>
      <top/>
      <bottom/>
      <diagonal/>
    </border>
    <border>
      <left/>
      <right/>
      <top/>
      <bottom style="medium">
        <color rgb="FFFFDEC7"/>
      </bottom>
      <diagonal/>
    </border>
    <border>
      <left/>
      <right/>
      <top style="medium">
        <color theme="3" tint="0.59996337778862885"/>
      </top>
      <bottom style="medium">
        <color theme="3" tint="0.59996337778862885"/>
      </bottom>
      <diagonal/>
    </border>
    <border>
      <left style="medium">
        <color theme="5"/>
      </left>
      <right/>
      <top style="medium">
        <color theme="5"/>
      </top>
      <bottom style="medium">
        <color theme="5"/>
      </bottom>
      <diagonal/>
    </border>
    <border>
      <left/>
      <right style="medium">
        <color theme="5"/>
      </right>
      <top style="medium">
        <color theme="5"/>
      </top>
      <bottom style="medium">
        <color theme="5"/>
      </bottom>
      <diagonal/>
    </border>
    <border>
      <left/>
      <right/>
      <top/>
      <bottom style="medium">
        <color rgb="FFFFDEBD"/>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top/>
      <bottom style="medium">
        <color theme="5" tint="0.59996337778862885"/>
      </bottom>
      <diagonal/>
    </border>
    <border>
      <left style="medium">
        <color theme="3" tint="0.59999389629810485"/>
      </left>
      <right/>
      <top style="medium">
        <color theme="3" tint="0.59999389629810485"/>
      </top>
      <bottom style="medium">
        <color theme="3" tint="0.59999389629810485"/>
      </bottom>
      <diagonal/>
    </border>
    <border>
      <left/>
      <right/>
      <top style="medium">
        <color theme="3" tint="0.59999389629810485"/>
      </top>
      <bottom style="medium">
        <color theme="3" tint="0.59999389629810485"/>
      </bottom>
      <diagonal/>
    </border>
    <border>
      <left/>
      <right style="medium">
        <color theme="3" tint="0.59999389629810485"/>
      </right>
      <top style="medium">
        <color theme="3" tint="0.59999389629810485"/>
      </top>
      <bottom style="medium">
        <color theme="3" tint="0.59999389629810485"/>
      </bottom>
      <diagonal/>
    </border>
    <border>
      <left style="medium">
        <color theme="0"/>
      </left>
      <right style="medium">
        <color theme="0"/>
      </right>
      <top style="medium">
        <color theme="0"/>
      </top>
      <bottom style="medium">
        <color theme="0"/>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9">
    <xf numFmtId="0" fontId="0" fillId="0" borderId="0">
      <alignment vertical="center"/>
    </xf>
    <xf numFmtId="177" fontId="1"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xf numFmtId="0" fontId="30" fillId="0" borderId="0"/>
    <xf numFmtId="0" fontId="31" fillId="0" borderId="0">
      <alignment vertical="center"/>
    </xf>
    <xf numFmtId="0" fontId="33" fillId="0" borderId="0">
      <alignment vertical="center"/>
    </xf>
    <xf numFmtId="0" fontId="67" fillId="21" borderId="0"/>
    <xf numFmtId="0" fontId="33" fillId="0" borderId="0"/>
  </cellStyleXfs>
  <cellXfs count="284">
    <xf numFmtId="0" fontId="0" fillId="0" borderId="0" xfId="0">
      <alignment vertical="center"/>
    </xf>
    <xf numFmtId="0" fontId="0" fillId="2" borderId="0" xfId="0" applyFill="1">
      <alignment vertical="center"/>
    </xf>
    <xf numFmtId="0" fontId="0" fillId="2" borderId="0" xfId="0" applyFill="1" applyProtection="1">
      <alignment vertical="center"/>
      <protection hidden="1"/>
    </xf>
    <xf numFmtId="0" fontId="0" fillId="5" borderId="2" xfId="0" applyFill="1" applyBorder="1" applyProtection="1">
      <alignment vertical="center"/>
      <protection hidden="1"/>
    </xf>
    <xf numFmtId="0" fontId="6" fillId="5" borderId="0" xfId="0" applyFont="1" applyFill="1" applyAlignment="1" applyProtection="1">
      <alignment horizontal="center" vertical="center"/>
      <protection hidden="1"/>
    </xf>
    <xf numFmtId="0" fontId="6" fillId="5" borderId="0" xfId="0" applyFont="1" applyFill="1" applyProtection="1">
      <alignment vertical="center"/>
      <protection hidden="1"/>
    </xf>
    <xf numFmtId="0" fontId="0" fillId="5" borderId="6" xfId="0" applyFill="1" applyBorder="1" applyProtection="1">
      <alignment vertical="center"/>
      <protection hidden="1"/>
    </xf>
    <xf numFmtId="0" fontId="6" fillId="5" borderId="7" xfId="0" applyFont="1" applyFill="1" applyBorder="1" applyProtection="1">
      <alignment vertical="center"/>
      <protection hidden="1"/>
    </xf>
    <xf numFmtId="0" fontId="0" fillId="5" borderId="8" xfId="0" applyFill="1" applyBorder="1" applyProtection="1">
      <alignment vertical="center"/>
      <protection hidden="1"/>
    </xf>
    <xf numFmtId="0" fontId="11" fillId="2" borderId="0" xfId="2" applyFill="1" applyProtection="1">
      <alignment vertical="center"/>
      <protection hidden="1"/>
    </xf>
    <xf numFmtId="0" fontId="6" fillId="5" borderId="1" xfId="3" applyFont="1" applyFill="1" applyBorder="1" applyAlignment="1" applyProtection="1">
      <alignment vertical="center"/>
      <protection hidden="1"/>
    </xf>
    <xf numFmtId="0" fontId="6" fillId="5" borderId="3" xfId="3" applyFont="1" applyFill="1" applyBorder="1" applyAlignment="1" applyProtection="1">
      <alignment vertical="center"/>
      <protection hidden="1"/>
    </xf>
    <xf numFmtId="0" fontId="13" fillId="5" borderId="3" xfId="3" applyFont="1" applyFill="1" applyBorder="1" applyAlignment="1" applyProtection="1">
      <alignment horizontal="left" vertical="top" wrapText="1"/>
      <protection hidden="1"/>
    </xf>
    <xf numFmtId="0" fontId="6" fillId="5" borderId="3" xfId="3" applyFont="1" applyFill="1" applyBorder="1" applyAlignment="1" applyProtection="1">
      <alignment horizontal="center" vertical="center" wrapText="1"/>
      <protection hidden="1"/>
    </xf>
    <xf numFmtId="0" fontId="0" fillId="5" borderId="3" xfId="0" applyFill="1" applyBorder="1" applyAlignment="1" applyProtection="1">
      <alignment horizontal="left" vertical="center"/>
      <protection hidden="1"/>
    </xf>
    <xf numFmtId="0" fontId="6" fillId="5" borderId="3" xfId="0" applyFont="1" applyFill="1" applyBorder="1" applyAlignment="1" applyProtection="1">
      <alignment horizontal="left" vertical="center"/>
      <protection hidden="1"/>
    </xf>
    <xf numFmtId="0" fontId="0" fillId="5" borderId="3" xfId="0" applyFill="1" applyBorder="1" applyAlignment="1" applyProtection="1">
      <alignment horizontal="left" vertical="top"/>
      <protection hidden="1"/>
    </xf>
    <xf numFmtId="0" fontId="6" fillId="5" borderId="4" xfId="3" applyFont="1" applyFill="1" applyBorder="1" applyAlignment="1" applyProtection="1">
      <alignment vertical="center"/>
      <protection hidden="1"/>
    </xf>
    <xf numFmtId="0" fontId="6" fillId="5" borderId="0" xfId="3" applyFont="1" applyFill="1" applyAlignment="1" applyProtection="1">
      <alignment horizontal="center" vertical="center"/>
      <protection hidden="1"/>
    </xf>
    <xf numFmtId="0" fontId="6" fillId="5" borderId="0" xfId="3" applyFont="1" applyFill="1" applyAlignment="1" applyProtection="1">
      <alignment vertical="center"/>
      <protection hidden="1"/>
    </xf>
    <xf numFmtId="0" fontId="0" fillId="5" borderId="0" xfId="0" applyFill="1" applyAlignment="1" applyProtection="1">
      <alignment horizontal="left" vertical="center"/>
      <protection hidden="1"/>
    </xf>
    <xf numFmtId="0" fontId="6" fillId="5" borderId="0" xfId="3" applyFont="1" applyFill="1" applyAlignment="1" applyProtection="1">
      <alignment vertical="top" wrapText="1"/>
      <protection hidden="1"/>
    </xf>
    <xf numFmtId="0" fontId="6" fillId="5" borderId="0" xfId="0" applyFont="1" applyFill="1" applyAlignment="1" applyProtection="1">
      <alignment vertical="top"/>
      <protection hidden="1"/>
    </xf>
    <xf numFmtId="0" fontId="6" fillId="5" borderId="6" xfId="0" applyFont="1" applyFill="1" applyBorder="1" applyProtection="1">
      <alignment vertical="center"/>
      <protection hidden="1"/>
    </xf>
    <xf numFmtId="0" fontId="6" fillId="5" borderId="9" xfId="0" applyFont="1" applyFill="1" applyBorder="1" applyProtection="1">
      <alignment vertical="center"/>
      <protection hidden="1"/>
    </xf>
    <xf numFmtId="0" fontId="6" fillId="5" borderId="7" xfId="0" applyFont="1" applyFill="1" applyBorder="1" applyAlignment="1" applyProtection="1">
      <alignment horizontal="center" vertical="center"/>
      <protection hidden="1"/>
    </xf>
    <xf numFmtId="0" fontId="6" fillId="5" borderId="7" xfId="0" applyFont="1" applyFill="1" applyBorder="1" applyAlignment="1" applyProtection="1">
      <alignment vertical="top"/>
      <protection hidden="1"/>
    </xf>
    <xf numFmtId="0" fontId="13" fillId="5" borderId="6" xfId="0" applyFont="1" applyFill="1" applyBorder="1" applyProtection="1">
      <alignment vertical="center"/>
      <protection hidden="1"/>
    </xf>
    <xf numFmtId="0" fontId="17" fillId="2" borderId="0" xfId="0" applyFont="1" applyFill="1" applyAlignment="1">
      <alignment horizontal="left" vertical="center"/>
    </xf>
    <xf numFmtId="0" fontId="26" fillId="2" borderId="0" xfId="0" applyFont="1" applyFill="1" applyAlignment="1">
      <alignment horizontal="left" vertical="center"/>
    </xf>
    <xf numFmtId="0" fontId="29" fillId="0" borderId="17" xfId="0" applyFont="1" applyBorder="1" applyAlignment="1">
      <alignment horizontal="center" vertical="center"/>
    </xf>
    <xf numFmtId="179" fontId="29" fillId="0" borderId="17" xfId="4" applyNumberFormat="1" applyFont="1" applyBorder="1" applyAlignment="1">
      <alignment horizontal="center" vertical="center"/>
    </xf>
    <xf numFmtId="0" fontId="29" fillId="0" borderId="0" xfId="0" applyFont="1" applyAlignment="1">
      <alignment horizontal="center" vertical="center"/>
    </xf>
    <xf numFmtId="0" fontId="17" fillId="10" borderId="0" xfId="0" applyFont="1" applyFill="1">
      <alignment vertical="center"/>
    </xf>
    <xf numFmtId="0" fontId="17" fillId="6" borderId="0" xfId="0" applyFont="1" applyFill="1">
      <alignment vertical="center"/>
    </xf>
    <xf numFmtId="0" fontId="17" fillId="0" borderId="0" xfId="5" applyFont="1">
      <alignment vertical="center"/>
    </xf>
    <xf numFmtId="0" fontId="17" fillId="0" borderId="0" xfId="0" applyFont="1" applyAlignment="1"/>
    <xf numFmtId="0" fontId="17" fillId="0" borderId="0" xfId="0" applyFont="1" applyAlignment="1">
      <alignment horizontal="right"/>
    </xf>
    <xf numFmtId="0" fontId="17" fillId="0" borderId="0" xfId="0" applyFont="1">
      <alignment vertical="center"/>
    </xf>
    <xf numFmtId="0" fontId="17" fillId="6" borderId="0" xfId="0" applyFont="1" applyFill="1" applyAlignment="1">
      <alignment horizontal="center"/>
    </xf>
    <xf numFmtId="0" fontId="23" fillId="6" borderId="0" xfId="0" applyFont="1" applyFill="1" applyAlignment="1">
      <alignment horizontal="center" vertical="center"/>
    </xf>
    <xf numFmtId="0" fontId="26" fillId="6" borderId="0" xfId="0" applyFont="1" applyFill="1">
      <alignment vertical="center"/>
    </xf>
    <xf numFmtId="0" fontId="32" fillId="9" borderId="0" xfId="0" applyFont="1" applyFill="1" applyAlignment="1">
      <alignment vertical="center" wrapText="1"/>
    </xf>
    <xf numFmtId="0" fontId="32" fillId="9" borderId="0" xfId="0" applyFont="1" applyFill="1" applyAlignment="1">
      <alignment horizontal="center" vertical="center" wrapText="1"/>
    </xf>
    <xf numFmtId="0" fontId="26" fillId="6" borderId="0" xfId="0" applyFont="1" applyFill="1" applyAlignment="1">
      <alignment horizontal="center" vertical="center"/>
    </xf>
    <xf numFmtId="0" fontId="17" fillId="0" borderId="0" xfId="6" applyFont="1">
      <alignment vertical="center"/>
    </xf>
    <xf numFmtId="0" fontId="23" fillId="0" borderId="21" xfId="0" applyFont="1" applyBorder="1" applyAlignment="1">
      <alignment horizontal="center" vertical="center"/>
    </xf>
    <xf numFmtId="0" fontId="23" fillId="0" borderId="19" xfId="0" applyFont="1" applyBorder="1" applyAlignment="1">
      <alignment horizontal="center" vertical="center"/>
    </xf>
    <xf numFmtId="0" fontId="23" fillId="0" borderId="22" xfId="0" applyFont="1" applyBorder="1" applyAlignment="1">
      <alignment horizontal="center" vertical="center"/>
    </xf>
    <xf numFmtId="0" fontId="17" fillId="0" borderId="0" xfId="0" applyFont="1" applyAlignment="1">
      <alignment horizontal="center"/>
    </xf>
    <xf numFmtId="49" fontId="17" fillId="0" borderId="0" xfId="0" applyNumberFormat="1" applyFont="1" applyAlignment="1">
      <alignment horizontal="center"/>
    </xf>
    <xf numFmtId="1" fontId="17" fillId="0" borderId="0" xfId="0" applyNumberFormat="1" applyFont="1" applyAlignment="1">
      <alignment horizontal="right"/>
    </xf>
    <xf numFmtId="0" fontId="17" fillId="0" borderId="17" xfId="0" applyFont="1" applyBorder="1" applyAlignment="1">
      <alignment horizontal="center" vertical="center"/>
    </xf>
    <xf numFmtId="0" fontId="17" fillId="0" borderId="0" xfId="0" applyFont="1" applyAlignment="1">
      <alignment horizontal="center" vertical="center"/>
    </xf>
    <xf numFmtId="49" fontId="17" fillId="0" borderId="18" xfId="0" applyNumberFormat="1" applyFont="1" applyBorder="1" applyAlignment="1">
      <alignment horizontal="center"/>
    </xf>
    <xf numFmtId="1" fontId="17" fillId="0" borderId="23" xfId="0" applyNumberFormat="1" applyFont="1" applyBorder="1" applyAlignment="1">
      <alignment horizontal="right"/>
    </xf>
    <xf numFmtId="0" fontId="17" fillId="0" borderId="17" xfId="0" applyFont="1" applyBorder="1" applyAlignment="1">
      <alignment horizontal="center" vertical="center" wrapText="1"/>
    </xf>
    <xf numFmtId="0" fontId="17" fillId="0" borderId="17" xfId="0" applyFont="1" applyBorder="1" applyAlignment="1">
      <alignment horizontal="right" vertical="center" wrapText="1"/>
    </xf>
    <xf numFmtId="3" fontId="17" fillId="0" borderId="17" xfId="0" applyNumberFormat="1" applyFont="1" applyBorder="1" applyAlignment="1">
      <alignment horizontal="right" vertical="center" wrapText="1"/>
    </xf>
    <xf numFmtId="49" fontId="17" fillId="0" borderId="20" xfId="0" applyNumberFormat="1" applyFont="1" applyBorder="1" applyAlignment="1">
      <alignment horizontal="center"/>
    </xf>
    <xf numFmtId="1" fontId="17" fillId="0" borderId="13" xfId="0" applyNumberFormat="1" applyFont="1" applyBorder="1" applyAlignment="1">
      <alignment horizontal="right"/>
    </xf>
    <xf numFmtId="1" fontId="17" fillId="0" borderId="24" xfId="0" applyNumberFormat="1" applyFont="1" applyBorder="1" applyAlignment="1">
      <alignment horizontal="right"/>
    </xf>
    <xf numFmtId="0" fontId="38" fillId="17" borderId="17" xfId="0" applyFont="1" applyFill="1" applyBorder="1" applyAlignment="1">
      <alignment horizontal="center" vertical="center" wrapText="1"/>
    </xf>
    <xf numFmtId="0" fontId="28" fillId="17" borderId="17" xfId="0" applyFont="1" applyFill="1" applyBorder="1" applyAlignment="1">
      <alignment horizontal="center" vertical="center"/>
    </xf>
    <xf numFmtId="0" fontId="27" fillId="17" borderId="17" xfId="0" applyFont="1" applyFill="1" applyBorder="1" applyAlignment="1">
      <alignment horizontal="center" vertical="center"/>
    </xf>
    <xf numFmtId="0" fontId="38" fillId="17" borderId="17" xfId="0" applyFont="1" applyFill="1" applyBorder="1" applyAlignment="1">
      <alignment horizontal="center" vertical="center"/>
    </xf>
    <xf numFmtId="0" fontId="13" fillId="5" borderId="0" xfId="3" applyFont="1" applyFill="1" applyAlignment="1" applyProtection="1">
      <alignment horizontal="left" vertical="top" wrapText="1"/>
      <protection hidden="1"/>
    </xf>
    <xf numFmtId="0" fontId="6" fillId="5" borderId="0" xfId="3" applyFont="1" applyFill="1" applyAlignment="1" applyProtection="1">
      <alignment horizontal="center" vertical="center" wrapText="1"/>
      <protection hidden="1"/>
    </xf>
    <xf numFmtId="0" fontId="6" fillId="5" borderId="0" xfId="0" applyFont="1" applyFill="1" applyAlignment="1" applyProtection="1">
      <alignment horizontal="left" vertical="center"/>
      <protection hidden="1"/>
    </xf>
    <xf numFmtId="0" fontId="0" fillId="5" borderId="0" xfId="0" applyFill="1" applyAlignment="1" applyProtection="1">
      <alignment horizontal="left" vertical="top"/>
      <protection hidden="1"/>
    </xf>
    <xf numFmtId="177" fontId="17" fillId="0" borderId="17" xfId="0" applyNumberFormat="1" applyFont="1" applyBorder="1" applyAlignment="1">
      <alignment horizontal="center" vertical="center" wrapText="1"/>
    </xf>
    <xf numFmtId="0" fontId="39" fillId="2" borderId="5" xfId="0" applyFont="1" applyFill="1" applyBorder="1" applyAlignment="1" applyProtection="1">
      <alignment horizontal="center" vertical="center"/>
      <protection locked="0"/>
    </xf>
    <xf numFmtId="0" fontId="41" fillId="0" borderId="0" xfId="2" applyFont="1" applyFill="1" applyAlignment="1" applyProtection="1">
      <alignment horizontal="center" vertical="center"/>
      <protection locked="0" hidden="1"/>
    </xf>
    <xf numFmtId="0" fontId="39" fillId="2" borderId="0" xfId="0" applyFont="1" applyFill="1">
      <alignment vertical="center"/>
    </xf>
    <xf numFmtId="0" fontId="39" fillId="5" borderId="0" xfId="0" applyFont="1" applyFill="1" applyProtection="1">
      <alignment vertical="center"/>
      <protection hidden="1"/>
    </xf>
    <xf numFmtId="0" fontId="39" fillId="5" borderId="0" xfId="3" applyFont="1" applyFill="1" applyAlignment="1" applyProtection="1">
      <alignment vertical="top" wrapText="1"/>
      <protection hidden="1"/>
    </xf>
    <xf numFmtId="0" fontId="39" fillId="5" borderId="0" xfId="3" applyFont="1" applyFill="1" applyAlignment="1" applyProtection="1">
      <alignment vertical="center"/>
      <protection hidden="1"/>
    </xf>
    <xf numFmtId="0" fontId="39" fillId="5" borderId="0" xfId="0" applyFont="1" applyFill="1" applyAlignment="1" applyProtection="1">
      <alignment vertical="top"/>
      <protection hidden="1"/>
    </xf>
    <xf numFmtId="0" fontId="43" fillId="2" borderId="0" xfId="3" applyFont="1" applyFill="1" applyAlignment="1" applyProtection="1">
      <alignment vertical="center"/>
      <protection hidden="1"/>
    </xf>
    <xf numFmtId="0" fontId="44" fillId="2" borderId="0" xfId="3" applyFont="1" applyFill="1" applyProtection="1">
      <protection hidden="1"/>
    </xf>
    <xf numFmtId="0" fontId="45" fillId="2" borderId="0" xfId="3" applyFont="1" applyFill="1" applyAlignment="1" applyProtection="1">
      <alignment horizontal="right" vertical="center"/>
      <protection hidden="1"/>
    </xf>
    <xf numFmtId="0" fontId="45" fillId="15" borderId="0" xfId="3" applyFont="1" applyFill="1" applyAlignment="1" applyProtection="1">
      <alignment vertical="center"/>
      <protection hidden="1"/>
    </xf>
    <xf numFmtId="0" fontId="40" fillId="2" borderId="0" xfId="3" applyFont="1" applyFill="1" applyProtection="1">
      <protection hidden="1"/>
    </xf>
    <xf numFmtId="0" fontId="39" fillId="2" borderId="0" xfId="3" applyFont="1" applyFill="1" applyProtection="1">
      <protection hidden="1"/>
    </xf>
    <xf numFmtId="0" fontId="46" fillId="2" borderId="0" xfId="3" applyFont="1" applyFill="1" applyAlignment="1" applyProtection="1">
      <alignment horizontal="left" vertical="top"/>
      <protection hidden="1"/>
    </xf>
    <xf numFmtId="0" fontId="47" fillId="2" borderId="0" xfId="3" applyFont="1" applyFill="1" applyAlignment="1" applyProtection="1">
      <alignment horizontal="center"/>
      <protection hidden="1"/>
    </xf>
    <xf numFmtId="0" fontId="47" fillId="2" borderId="0" xfId="0" applyFont="1" applyFill="1" applyAlignment="1" applyProtection="1">
      <alignment horizontal="center"/>
      <protection hidden="1"/>
    </xf>
    <xf numFmtId="0" fontId="47" fillId="2" borderId="0" xfId="3" applyFont="1" applyFill="1" applyAlignment="1" applyProtection="1">
      <alignment horizontal="right"/>
      <protection hidden="1"/>
    </xf>
    <xf numFmtId="0" fontId="47" fillId="2" borderId="0" xfId="3" applyFont="1" applyFill="1" applyProtection="1">
      <protection hidden="1"/>
    </xf>
    <xf numFmtId="0" fontId="47" fillId="2" borderId="0" xfId="3" applyFont="1" applyFill="1" applyAlignment="1" applyProtection="1">
      <alignment horizontal="right" vertical="top"/>
      <protection hidden="1"/>
    </xf>
    <xf numFmtId="0" fontId="47" fillId="2" borderId="0" xfId="3" applyFont="1" applyFill="1" applyAlignment="1" applyProtection="1">
      <alignment horizontal="right" vertical="center"/>
      <protection hidden="1"/>
    </xf>
    <xf numFmtId="0" fontId="51" fillId="5" borderId="0" xfId="0" applyFont="1" applyFill="1" applyAlignment="1" applyProtection="1">
      <alignment horizontal="left" vertical="center" indent="1"/>
      <protection hidden="1"/>
    </xf>
    <xf numFmtId="0" fontId="6" fillId="5" borderId="6" xfId="0" applyFont="1" applyFill="1" applyBorder="1" applyAlignment="1" applyProtection="1">
      <alignment horizontal="left" vertical="center" indent="1"/>
      <protection hidden="1"/>
    </xf>
    <xf numFmtId="0" fontId="6" fillId="5" borderId="0" xfId="0" applyFont="1" applyFill="1" applyAlignment="1" applyProtection="1">
      <alignment horizontal="left" vertical="center" indent="1"/>
      <protection hidden="1"/>
    </xf>
    <xf numFmtId="0" fontId="48" fillId="16" borderId="0" xfId="3" applyFont="1" applyFill="1" applyAlignment="1" applyProtection="1">
      <alignment vertical="center"/>
      <protection hidden="1"/>
    </xf>
    <xf numFmtId="0" fontId="40" fillId="2" borderId="0" xfId="3" applyFont="1" applyFill="1" applyAlignment="1" applyProtection="1">
      <alignment vertical="center"/>
      <protection hidden="1"/>
    </xf>
    <xf numFmtId="0" fontId="39" fillId="2" borderId="0" xfId="3" applyFont="1" applyFill="1" applyAlignment="1" applyProtection="1">
      <alignment vertical="center"/>
      <protection hidden="1"/>
    </xf>
    <xf numFmtId="0" fontId="47" fillId="2" borderId="0" xfId="3" applyFont="1" applyFill="1" applyAlignment="1" applyProtection="1">
      <alignment vertical="center"/>
      <protection hidden="1"/>
    </xf>
    <xf numFmtId="0" fontId="40" fillId="2" borderId="32" xfId="3" applyFont="1" applyFill="1" applyBorder="1" applyAlignment="1" applyProtection="1">
      <alignment vertical="center"/>
      <protection hidden="1"/>
    </xf>
    <xf numFmtId="0" fontId="47" fillId="2" borderId="32" xfId="3" applyFont="1" applyFill="1" applyBorder="1" applyAlignment="1" applyProtection="1">
      <alignment vertical="center"/>
      <protection hidden="1"/>
    </xf>
    <xf numFmtId="0" fontId="29" fillId="2" borderId="0" xfId="0" applyFont="1" applyFill="1" applyAlignment="1">
      <alignment horizontal="center" vertical="center"/>
    </xf>
    <xf numFmtId="0" fontId="29" fillId="2" borderId="0" xfId="0" applyFont="1" applyFill="1">
      <alignment vertical="center"/>
    </xf>
    <xf numFmtId="0" fontId="55" fillId="2" borderId="0" xfId="0" applyFont="1" applyFill="1" applyAlignment="1">
      <alignment horizontal="center" vertical="center"/>
    </xf>
    <xf numFmtId="0" fontId="29" fillId="2" borderId="0" xfId="0" applyFont="1" applyFill="1" applyAlignment="1">
      <alignment horizontal="left" vertical="center"/>
    </xf>
    <xf numFmtId="0" fontId="56" fillId="6" borderId="14" xfId="0" applyFont="1" applyFill="1" applyBorder="1" applyAlignment="1">
      <alignment horizontal="center" vertical="center"/>
    </xf>
    <xf numFmtId="0" fontId="57" fillId="6" borderId="15" xfId="0" applyFont="1" applyFill="1" applyBorder="1" applyAlignment="1">
      <alignment horizontal="center" vertical="center"/>
    </xf>
    <xf numFmtId="0" fontId="57" fillId="6" borderId="16" xfId="0" applyFont="1" applyFill="1" applyBorder="1" applyAlignment="1">
      <alignment horizontal="center" vertical="center"/>
    </xf>
    <xf numFmtId="0" fontId="60" fillId="2" borderId="0" xfId="0" applyFont="1" applyFill="1" applyAlignment="1">
      <alignment horizontal="left" vertical="center"/>
    </xf>
    <xf numFmtId="0" fontId="60" fillId="2" borderId="0" xfId="0" applyFont="1" applyFill="1" applyAlignment="1">
      <alignment horizontal="left" vertical="center" wrapText="1"/>
    </xf>
    <xf numFmtId="0" fontId="58" fillId="2" borderId="0" xfId="0" applyFont="1" applyFill="1" applyAlignment="1">
      <alignment horizontal="left" vertical="top"/>
    </xf>
    <xf numFmtId="0" fontId="59" fillId="2" borderId="0" xfId="0" applyFont="1" applyFill="1" applyAlignment="1">
      <alignment horizontal="left" vertical="center"/>
    </xf>
    <xf numFmtId="0" fontId="40" fillId="3" borderId="0" xfId="0" applyFont="1" applyFill="1" applyAlignment="1">
      <alignment horizontal="center" vertical="center"/>
    </xf>
    <xf numFmtId="0" fontId="39" fillId="0" borderId="0" xfId="0" applyFont="1" applyAlignment="1">
      <alignment horizontal="center" vertical="center"/>
    </xf>
    <xf numFmtId="0" fontId="39" fillId="0" borderId="0" xfId="0" applyFont="1" applyAlignment="1">
      <alignment horizontal="left" vertical="center"/>
    </xf>
    <xf numFmtId="0" fontId="39" fillId="0" borderId="18" xfId="0" applyFont="1" applyBorder="1" applyAlignment="1">
      <alignment horizontal="center" vertical="center"/>
    </xf>
    <xf numFmtId="0" fontId="39" fillId="0" borderId="0" xfId="0" applyFont="1">
      <alignment vertical="center"/>
    </xf>
    <xf numFmtId="0" fontId="39" fillId="0" borderId="13" xfId="0" applyFont="1" applyBorder="1" applyAlignment="1">
      <alignment horizontal="left" vertical="center"/>
    </xf>
    <xf numFmtId="0" fontId="39" fillId="0" borderId="13" xfId="0" applyFont="1" applyBorder="1" applyAlignment="1">
      <alignment horizontal="center" vertical="center"/>
    </xf>
    <xf numFmtId="0" fontId="50" fillId="0" borderId="0" xfId="0" applyFont="1" applyAlignment="1">
      <alignment horizontal="left" vertical="center"/>
    </xf>
    <xf numFmtId="38" fontId="39" fillId="0" borderId="0" xfId="0" applyNumberFormat="1" applyFont="1" applyAlignment="1">
      <alignment horizontal="center" vertical="center"/>
    </xf>
    <xf numFmtId="0" fontId="39" fillId="18" borderId="0" xfId="0" applyFont="1" applyFill="1" applyAlignment="1">
      <alignment horizontal="center" vertical="center"/>
    </xf>
    <xf numFmtId="176" fontId="39" fillId="0" borderId="0" xfId="0" applyNumberFormat="1" applyFont="1" applyAlignment="1">
      <alignment horizontal="right" vertical="center"/>
    </xf>
    <xf numFmtId="0" fontId="39" fillId="18" borderId="33" xfId="0" applyFont="1" applyFill="1" applyBorder="1">
      <alignment vertical="center"/>
    </xf>
    <xf numFmtId="0" fontId="39" fillId="18" borderId="34" xfId="0" applyFont="1" applyFill="1" applyBorder="1" applyAlignment="1">
      <alignment horizontal="center" vertical="center"/>
    </xf>
    <xf numFmtId="0" fontId="39" fillId="18" borderId="34" xfId="0" applyFont="1" applyFill="1" applyBorder="1">
      <alignment vertical="center"/>
    </xf>
    <xf numFmtId="176" fontId="39" fillId="18" borderId="34" xfId="0" applyNumberFormat="1" applyFont="1" applyFill="1" applyBorder="1" applyAlignment="1">
      <alignment horizontal="right" vertical="center"/>
    </xf>
    <xf numFmtId="0" fontId="61" fillId="18" borderId="35" xfId="0" applyFont="1" applyFill="1" applyBorder="1" applyAlignment="1">
      <alignment horizontal="center" vertical="center"/>
    </xf>
    <xf numFmtId="0" fontId="39" fillId="0" borderId="37" xfId="0" applyFont="1" applyBorder="1" applyAlignment="1">
      <alignment horizontal="center" vertical="center"/>
    </xf>
    <xf numFmtId="0" fontId="39" fillId="0" borderId="39" xfId="0" applyFont="1" applyBorder="1" applyAlignment="1">
      <alignment horizontal="center" vertical="center"/>
    </xf>
    <xf numFmtId="0" fontId="39" fillId="0" borderId="39" xfId="0" applyFont="1" applyBorder="1">
      <alignment vertical="center"/>
    </xf>
    <xf numFmtId="176" fontId="39" fillId="0" borderId="39" xfId="0" applyNumberFormat="1" applyFont="1" applyBorder="1" applyAlignment="1">
      <alignment horizontal="right" vertical="center"/>
    </xf>
    <xf numFmtId="0" fontId="39" fillId="0" borderId="40" xfId="0" applyFont="1" applyBorder="1" applyAlignment="1">
      <alignment horizontal="center" vertical="center"/>
    </xf>
    <xf numFmtId="0" fontId="39" fillId="0" borderId="0" xfId="0" applyFont="1" applyAlignment="1">
      <alignment vertical="center" wrapText="1"/>
    </xf>
    <xf numFmtId="0" fontId="62" fillId="3" borderId="0" xfId="0" applyFont="1" applyFill="1" applyAlignment="1">
      <alignment horizontal="center" vertical="center"/>
    </xf>
    <xf numFmtId="0" fontId="62" fillId="14" borderId="0" xfId="0" applyFont="1" applyFill="1" applyAlignment="1">
      <alignment horizontal="center" vertical="center"/>
    </xf>
    <xf numFmtId="0" fontId="39" fillId="7" borderId="0" xfId="0" applyFont="1" applyFill="1" applyAlignment="1">
      <alignment horizontal="center" vertical="center"/>
    </xf>
    <xf numFmtId="0" fontId="39" fillId="7" borderId="0" xfId="0" applyFont="1" applyFill="1" applyAlignment="1">
      <alignment horizontal="left" vertical="center"/>
    </xf>
    <xf numFmtId="0" fontId="39" fillId="2" borderId="0" xfId="0" applyFont="1" applyFill="1" applyProtection="1">
      <alignment vertical="center"/>
      <protection locked="0" hidden="1"/>
    </xf>
    <xf numFmtId="0" fontId="39" fillId="2" borderId="0" xfId="0" applyFont="1" applyFill="1" applyProtection="1">
      <alignment vertical="center"/>
      <protection hidden="1"/>
    </xf>
    <xf numFmtId="0" fontId="52" fillId="6" borderId="0" xfId="2" applyFont="1" applyFill="1" applyAlignment="1" applyProtection="1">
      <alignment horizontal="center" vertical="center"/>
      <protection locked="0" hidden="1"/>
    </xf>
    <xf numFmtId="0" fontId="66" fillId="2" borderId="0" xfId="0" applyFont="1" applyFill="1" applyAlignment="1" applyProtection="1">
      <alignment horizontal="center" vertical="center"/>
      <protection hidden="1"/>
    </xf>
    <xf numFmtId="0" fontId="28" fillId="19" borderId="45" xfId="0" applyFont="1" applyFill="1" applyBorder="1" applyAlignment="1">
      <alignment horizontal="center" vertical="center"/>
    </xf>
    <xf numFmtId="0" fontId="29" fillId="20" borderId="46" xfId="0" applyFont="1" applyFill="1" applyBorder="1" applyAlignment="1">
      <alignment horizontal="center" vertical="center"/>
    </xf>
    <xf numFmtId="3" fontId="29" fillId="0" borderId="47" xfId="0" applyNumberFormat="1" applyFont="1" applyBorder="1" applyAlignment="1">
      <alignment horizontal="center" vertical="center"/>
    </xf>
    <xf numFmtId="0" fontId="29" fillId="20" borderId="47" xfId="0" applyFont="1" applyFill="1" applyBorder="1" applyAlignment="1">
      <alignment horizontal="center" vertical="center"/>
    </xf>
    <xf numFmtId="3" fontId="29" fillId="0" borderId="47" xfId="4" applyNumberFormat="1" applyFont="1" applyBorder="1" applyAlignment="1">
      <alignment horizontal="center" vertical="center"/>
    </xf>
    <xf numFmtId="178" fontId="29" fillId="12" borderId="17" xfId="1" applyNumberFormat="1" applyFont="1" applyFill="1" applyBorder="1" applyAlignment="1" applyProtection="1">
      <alignment horizontal="center" vertical="center"/>
      <protection hidden="1"/>
    </xf>
    <xf numFmtId="0" fontId="29" fillId="13" borderId="17" xfId="3" applyFont="1" applyFill="1" applyBorder="1" applyAlignment="1" applyProtection="1">
      <alignment horizontal="center"/>
      <protection hidden="1"/>
    </xf>
    <xf numFmtId="0" fontId="29" fillId="13" borderId="17" xfId="3" applyFont="1" applyFill="1" applyBorder="1" applyAlignment="1" applyProtection="1">
      <alignment horizontal="center" vertical="center"/>
      <protection hidden="1"/>
    </xf>
    <xf numFmtId="0" fontId="29" fillId="2" borderId="17" xfId="3" applyFont="1" applyFill="1" applyBorder="1" applyAlignment="1" applyProtection="1">
      <alignment horizontal="center"/>
      <protection hidden="1"/>
    </xf>
    <xf numFmtId="178" fontId="29" fillId="11" borderId="17" xfId="1" applyNumberFormat="1" applyFont="1" applyFill="1" applyBorder="1" applyAlignment="1" applyProtection="1">
      <alignment horizontal="center" vertical="center"/>
      <protection hidden="1"/>
    </xf>
    <xf numFmtId="178" fontId="68" fillId="11" borderId="17" xfId="1" applyNumberFormat="1" applyFont="1" applyFill="1" applyBorder="1" applyAlignment="1" applyProtection="1">
      <alignment horizontal="center" vertical="center"/>
      <protection hidden="1"/>
    </xf>
    <xf numFmtId="0" fontId="29" fillId="11" borderId="17" xfId="3" applyFont="1" applyFill="1" applyBorder="1" applyAlignment="1" applyProtection="1">
      <alignment horizontal="center" vertical="center"/>
      <protection hidden="1"/>
    </xf>
    <xf numFmtId="0" fontId="29" fillId="12" borderId="17" xfId="3" applyFont="1" applyFill="1" applyBorder="1" applyAlignment="1" applyProtection="1">
      <alignment horizontal="center" vertical="center"/>
      <protection hidden="1"/>
    </xf>
    <xf numFmtId="0" fontId="29" fillId="2" borderId="0" xfId="3" applyFont="1" applyFill="1" applyProtection="1">
      <protection hidden="1"/>
    </xf>
    <xf numFmtId="0" fontId="29" fillId="0" borderId="0" xfId="0" applyFont="1">
      <alignment vertical="center"/>
    </xf>
    <xf numFmtId="0" fontId="69" fillId="2" borderId="0" xfId="0" applyFont="1" applyFill="1" applyProtection="1">
      <alignment vertical="center"/>
      <protection hidden="1"/>
    </xf>
    <xf numFmtId="0" fontId="71" fillId="2" borderId="0" xfId="0" applyFont="1" applyFill="1">
      <alignment vertical="center"/>
    </xf>
    <xf numFmtId="0" fontId="72" fillId="2" borderId="0" xfId="0" applyFont="1" applyFill="1">
      <alignment vertical="center"/>
    </xf>
    <xf numFmtId="0" fontId="69" fillId="2" borderId="48" xfId="0" applyFont="1" applyFill="1" applyBorder="1" applyProtection="1">
      <alignment vertical="center"/>
      <protection hidden="1"/>
    </xf>
    <xf numFmtId="0" fontId="69" fillId="2" borderId="48" xfId="0" applyFont="1" applyFill="1" applyBorder="1" applyAlignment="1" applyProtection="1">
      <alignment horizontal="center" vertical="center"/>
      <protection hidden="1"/>
    </xf>
    <xf numFmtId="0" fontId="29" fillId="18" borderId="0" xfId="0" applyFont="1" applyFill="1" applyAlignment="1">
      <alignment horizontal="center" vertical="center"/>
    </xf>
    <xf numFmtId="0" fontId="73" fillId="19" borderId="45" xfId="0" applyFont="1" applyFill="1" applyBorder="1" applyAlignment="1">
      <alignment horizontal="center" vertical="center"/>
    </xf>
    <xf numFmtId="0" fontId="68" fillId="20" borderId="46" xfId="0" applyFont="1" applyFill="1" applyBorder="1" applyAlignment="1">
      <alignment horizontal="center" vertical="center"/>
    </xf>
    <xf numFmtId="3" fontId="68" fillId="0" borderId="47" xfId="0" applyNumberFormat="1" applyFont="1" applyBorder="1" applyAlignment="1">
      <alignment horizontal="center" vertical="center"/>
    </xf>
    <xf numFmtId="0" fontId="68" fillId="20" borderId="47" xfId="0" applyFont="1" applyFill="1" applyBorder="1" applyAlignment="1">
      <alignment horizontal="center" vertical="center"/>
    </xf>
    <xf numFmtId="0" fontId="68" fillId="0" borderId="46" xfId="8" applyFont="1" applyBorder="1" applyAlignment="1">
      <alignment horizontal="center" vertical="center"/>
    </xf>
    <xf numFmtId="3" fontId="68" fillId="0" borderId="47" xfId="7" applyNumberFormat="1" applyFont="1" applyFill="1" applyBorder="1" applyAlignment="1">
      <alignment horizontal="center" vertical="center"/>
    </xf>
    <xf numFmtId="0" fontId="74" fillId="0" borderId="0" xfId="0" applyFont="1">
      <alignment vertical="center"/>
    </xf>
    <xf numFmtId="0" fontId="68" fillId="2" borderId="0" xfId="0" applyFont="1" applyFill="1" applyAlignment="1">
      <alignment horizontal="left" vertical="center"/>
    </xf>
    <xf numFmtId="0" fontId="68" fillId="2" borderId="0" xfId="0" applyFont="1" applyFill="1" applyAlignment="1">
      <alignment horizontal="center" vertical="center"/>
    </xf>
    <xf numFmtId="0" fontId="66" fillId="0" borderId="36" xfId="0" applyFont="1" applyBorder="1">
      <alignment vertical="center"/>
    </xf>
    <xf numFmtId="0" fontId="66" fillId="0" borderId="38" xfId="0" applyFont="1" applyBorder="1">
      <alignment vertical="center"/>
    </xf>
    <xf numFmtId="0" fontId="0" fillId="0" borderId="0" xfId="0" applyAlignment="1">
      <alignment horizontal="center" vertical="center"/>
    </xf>
    <xf numFmtId="0" fontId="6" fillId="0" borderId="0" xfId="0" applyFont="1" applyAlignment="1">
      <alignment horizontal="left" vertical="center"/>
    </xf>
    <xf numFmtId="0" fontId="6" fillId="0" borderId="0" xfId="0" applyFont="1">
      <alignment vertical="center"/>
    </xf>
    <xf numFmtId="0" fontId="34" fillId="14" borderId="0" xfId="0" applyFont="1" applyFill="1" applyAlignment="1">
      <alignment horizontal="center" vertical="center"/>
    </xf>
    <xf numFmtId="0" fontId="39" fillId="5" borderId="0" xfId="3" applyFont="1" applyFill="1" applyAlignment="1">
      <alignment vertical="center"/>
    </xf>
    <xf numFmtId="0" fontId="39" fillId="5" borderId="0" xfId="3" applyFont="1" applyFill="1" applyAlignment="1">
      <alignment horizontal="center" vertical="top" wrapText="1"/>
    </xf>
    <xf numFmtId="0" fontId="39" fillId="5" borderId="0" xfId="3" applyFont="1" applyFill="1" applyAlignment="1" applyProtection="1">
      <alignment vertical="top"/>
      <protection hidden="1"/>
    </xf>
    <xf numFmtId="0" fontId="6" fillId="5" borderId="0" xfId="0" applyFont="1" applyFill="1" applyAlignment="1" applyProtection="1">
      <alignment vertical="top"/>
      <protection hidden="1"/>
    </xf>
    <xf numFmtId="0" fontId="39" fillId="5" borderId="0" xfId="3" applyFont="1" applyFill="1" applyAlignment="1">
      <alignment horizontal="left" vertical="center" wrapText="1"/>
    </xf>
    <xf numFmtId="0" fontId="39" fillId="5" borderId="0" xfId="3" applyFont="1" applyFill="1" applyAlignment="1" applyProtection="1">
      <alignment horizontal="center" vertical="center"/>
      <protection hidden="1"/>
    </xf>
    <xf numFmtId="0" fontId="39" fillId="2" borderId="10" xfId="0" applyFont="1" applyFill="1" applyBorder="1" applyAlignment="1" applyProtection="1">
      <alignment horizontal="center" vertical="center"/>
      <protection locked="0"/>
    </xf>
    <xf numFmtId="0" fontId="39" fillId="2" borderId="11" xfId="0" applyFont="1" applyFill="1" applyBorder="1" applyAlignment="1" applyProtection="1">
      <alignment horizontal="center" vertical="center"/>
      <protection locked="0"/>
    </xf>
    <xf numFmtId="0" fontId="6" fillId="5" borderId="0" xfId="0" applyFont="1" applyFill="1" applyAlignment="1" applyProtection="1">
      <alignment horizontal="left" vertical="center"/>
      <protection hidden="1"/>
    </xf>
    <xf numFmtId="0" fontId="6" fillId="5" borderId="6" xfId="0" applyFont="1" applyFill="1" applyBorder="1" applyAlignment="1" applyProtection="1">
      <alignment horizontal="left" vertical="center"/>
      <protection hidden="1"/>
    </xf>
    <xf numFmtId="0" fontId="7" fillId="4" borderId="0" xfId="0" applyFont="1" applyFill="1" applyAlignment="1" applyProtection="1">
      <alignment horizontal="center" vertical="center"/>
      <protection hidden="1"/>
    </xf>
    <xf numFmtId="0" fontId="8" fillId="4" borderId="30" xfId="0" applyFont="1" applyFill="1" applyBorder="1" applyAlignment="1" applyProtection="1">
      <alignment horizontal="center" vertical="center"/>
      <protection hidden="1"/>
    </xf>
    <xf numFmtId="0" fontId="8" fillId="4" borderId="31" xfId="0" applyFont="1" applyFill="1" applyBorder="1" applyAlignment="1" applyProtection="1">
      <alignment horizontal="center" vertical="center"/>
      <protection hidden="1"/>
    </xf>
    <xf numFmtId="0" fontId="8" fillId="4" borderId="1" xfId="0" applyFont="1" applyFill="1" applyBorder="1" applyAlignment="1" applyProtection="1">
      <alignment horizontal="center" vertical="center"/>
      <protection hidden="1"/>
    </xf>
    <xf numFmtId="0" fontId="8" fillId="4" borderId="2" xfId="0" applyFont="1" applyFill="1" applyBorder="1" applyAlignment="1" applyProtection="1">
      <alignment horizontal="center" vertical="center"/>
      <protection hidden="1"/>
    </xf>
    <xf numFmtId="0" fontId="42" fillId="2" borderId="1"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2"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2" borderId="0" xfId="0" applyFont="1" applyFill="1" applyAlignment="1" applyProtection="1">
      <alignment horizontal="left" vertical="top" wrapText="1"/>
      <protection hidden="1"/>
    </xf>
    <xf numFmtId="0" fontId="42" fillId="2" borderId="6" xfId="0" applyFont="1" applyFill="1" applyBorder="1" applyAlignment="1" applyProtection="1">
      <alignment horizontal="left" vertical="top" wrapText="1"/>
      <protection hidden="1"/>
    </xf>
    <xf numFmtId="0" fontId="42" fillId="2" borderId="9" xfId="0" applyFont="1" applyFill="1" applyBorder="1" applyAlignment="1" applyProtection="1">
      <alignment horizontal="left" vertical="top" wrapText="1"/>
      <protection hidden="1"/>
    </xf>
    <xf numFmtId="0" fontId="42" fillId="2" borderId="7" xfId="0" applyFont="1" applyFill="1" applyBorder="1" applyAlignment="1" applyProtection="1">
      <alignment horizontal="left" vertical="top" wrapText="1"/>
      <protection hidden="1"/>
    </xf>
    <xf numFmtId="0" fontId="42" fillId="2" borderId="8" xfId="0" applyFont="1" applyFill="1" applyBorder="1" applyAlignment="1" applyProtection="1">
      <alignment horizontal="left" vertical="top" wrapText="1"/>
      <protection hidden="1"/>
    </xf>
    <xf numFmtId="0" fontId="10" fillId="0" borderId="0" xfId="0" applyFont="1" applyAlignment="1" applyProtection="1">
      <alignment horizontal="center" vertical="center"/>
      <protection hidden="1"/>
    </xf>
    <xf numFmtId="0" fontId="6" fillId="5" borderId="0" xfId="3" applyFont="1" applyFill="1" applyAlignment="1" applyProtection="1">
      <alignment horizontal="center" vertical="center"/>
      <protection hidden="1"/>
    </xf>
    <xf numFmtId="38" fontId="39" fillId="2" borderId="10" xfId="0" applyNumberFormat="1" applyFont="1" applyFill="1" applyBorder="1" applyAlignment="1" applyProtection="1">
      <alignment horizontal="center" vertical="center"/>
      <protection locked="0"/>
    </xf>
    <xf numFmtId="38" fontId="39" fillId="2" borderId="11" xfId="0" applyNumberFormat="1" applyFont="1" applyFill="1" applyBorder="1" applyAlignment="1" applyProtection="1">
      <alignment horizontal="center" vertical="center"/>
      <protection locked="0"/>
    </xf>
    <xf numFmtId="38" fontId="6" fillId="2" borderId="10" xfId="0" applyNumberFormat="1" applyFont="1" applyFill="1" applyBorder="1" applyAlignment="1" applyProtection="1">
      <alignment horizontal="left" vertical="center"/>
      <protection locked="0"/>
    </xf>
    <xf numFmtId="38" fontId="39" fillId="2" borderId="29" xfId="0" applyNumberFormat="1" applyFont="1" applyFill="1" applyBorder="1" applyAlignment="1" applyProtection="1">
      <alignment horizontal="left" vertical="center"/>
      <protection locked="0"/>
    </xf>
    <xf numFmtId="38" fontId="39" fillId="2" borderId="11" xfId="0" applyNumberFormat="1" applyFont="1" applyFill="1" applyBorder="1" applyAlignment="1" applyProtection="1">
      <alignment horizontal="left" vertical="center"/>
      <protection locked="0"/>
    </xf>
    <xf numFmtId="0" fontId="39" fillId="2" borderId="10" xfId="3" applyFont="1" applyFill="1" applyBorder="1" applyAlignment="1" applyProtection="1">
      <alignment horizontal="center" vertical="center"/>
      <protection locked="0" hidden="1"/>
    </xf>
    <xf numFmtId="0" fontId="39" fillId="2" borderId="11" xfId="3" applyFont="1" applyFill="1" applyBorder="1" applyAlignment="1" applyProtection="1">
      <alignment horizontal="center" vertical="center"/>
      <protection locked="0" hidden="1"/>
    </xf>
    <xf numFmtId="0" fontId="39" fillId="5" borderId="12" xfId="3" applyFont="1" applyFill="1" applyBorder="1" applyAlignment="1" applyProtection="1">
      <alignment vertical="top"/>
      <protection hidden="1"/>
    </xf>
    <xf numFmtId="0" fontId="39" fillId="5" borderId="12" xfId="3" applyFont="1" applyFill="1" applyBorder="1" applyAlignment="1" applyProtection="1">
      <alignment vertical="center"/>
      <protection hidden="1"/>
    </xf>
    <xf numFmtId="0" fontId="39" fillId="5" borderId="0" xfId="3" applyFont="1" applyFill="1" applyAlignment="1" applyProtection="1">
      <alignment horizontal="left" vertical="center"/>
      <protection hidden="1"/>
    </xf>
    <xf numFmtId="0" fontId="39" fillId="5" borderId="0" xfId="3" applyFont="1" applyFill="1" applyAlignment="1" applyProtection="1">
      <alignment horizontal="center" vertical="top" wrapText="1"/>
      <protection hidden="1"/>
    </xf>
    <xf numFmtId="0" fontId="39" fillId="5" borderId="0" xfId="3" applyFont="1" applyFill="1" applyAlignment="1">
      <alignment horizontal="center" vertical="center"/>
    </xf>
    <xf numFmtId="0" fontId="39" fillId="5" borderId="0" xfId="3" applyFont="1" applyFill="1" applyAlignment="1" applyProtection="1">
      <alignment horizontal="center" vertical="top"/>
      <protection hidden="1"/>
    </xf>
    <xf numFmtId="0" fontId="6" fillId="2" borderId="10" xfId="0" applyFont="1" applyFill="1" applyBorder="1" applyAlignment="1" applyProtection="1">
      <alignment horizontal="center" vertical="center"/>
      <protection locked="0" hidden="1"/>
    </xf>
    <xf numFmtId="0" fontId="6" fillId="2" borderId="11" xfId="0" applyFont="1" applyFill="1" applyBorder="1" applyAlignment="1" applyProtection="1">
      <alignment horizontal="center" vertical="center"/>
      <protection locked="0" hidden="1"/>
    </xf>
    <xf numFmtId="0" fontId="39" fillId="5" borderId="0" xfId="3" applyFont="1" applyFill="1" applyAlignment="1">
      <alignment horizontal="left" vertical="center"/>
    </xf>
    <xf numFmtId="0" fontId="39" fillId="5" borderId="0" xfId="3" applyFont="1" applyFill="1" applyAlignment="1" applyProtection="1">
      <alignment vertical="center"/>
      <protection hidden="1"/>
    </xf>
    <xf numFmtId="0" fontId="66" fillId="0" borderId="42" xfId="3" applyFont="1" applyBorder="1" applyAlignment="1" applyProtection="1">
      <alignment horizontal="left" vertical="center"/>
      <protection locked="0" hidden="1"/>
    </xf>
    <xf numFmtId="0" fontId="39" fillId="0" borderId="43" xfId="3" applyFont="1" applyBorder="1" applyAlignment="1" applyProtection="1">
      <alignment horizontal="left" vertical="center"/>
      <protection locked="0" hidden="1"/>
    </xf>
    <xf numFmtId="0" fontId="39" fillId="0" borderId="44" xfId="3" applyFont="1" applyBorder="1" applyAlignment="1" applyProtection="1">
      <alignment horizontal="left" vertical="center"/>
      <protection locked="0" hidden="1"/>
    </xf>
    <xf numFmtId="0" fontId="45" fillId="15" borderId="0" xfId="3" applyFont="1" applyFill="1" applyAlignment="1" applyProtection="1">
      <alignment horizontal="center" vertical="center"/>
      <protection hidden="1"/>
    </xf>
    <xf numFmtId="0" fontId="46" fillId="2" borderId="0" xfId="3" applyFont="1" applyFill="1" applyAlignment="1" applyProtection="1">
      <alignment horizontal="left" vertical="center"/>
      <protection hidden="1"/>
    </xf>
    <xf numFmtId="0" fontId="47" fillId="2" borderId="0" xfId="3" applyFont="1" applyFill="1" applyAlignment="1" applyProtection="1">
      <alignment horizontal="left" vertical="center"/>
      <protection hidden="1"/>
    </xf>
    <xf numFmtId="0" fontId="47" fillId="2" borderId="0" xfId="3" applyFont="1" applyFill="1" applyAlignment="1" applyProtection="1">
      <alignment horizontal="center" vertical="center"/>
      <protection hidden="1"/>
    </xf>
    <xf numFmtId="0" fontId="48" fillId="2" borderId="0" xfId="3" applyFont="1" applyFill="1" applyAlignment="1" applyProtection="1">
      <alignment horizontal="center" vertical="center"/>
      <protection hidden="1"/>
    </xf>
    <xf numFmtId="0" fontId="39" fillId="2" borderId="0" xfId="3" applyFont="1" applyFill="1" applyAlignment="1" applyProtection="1">
      <alignment horizontal="left" vertical="top"/>
      <protection hidden="1"/>
    </xf>
    <xf numFmtId="0" fontId="47" fillId="2" borderId="0" xfId="3" applyFont="1" applyFill="1" applyAlignment="1" applyProtection="1">
      <alignment horizontal="left" vertical="top"/>
      <protection hidden="1"/>
    </xf>
    <xf numFmtId="0" fontId="63" fillId="2" borderId="0" xfId="3" applyFont="1" applyFill="1" applyAlignment="1" applyProtection="1">
      <alignment horizontal="left" vertical="top" wrapText="1"/>
      <protection hidden="1"/>
    </xf>
    <xf numFmtId="0" fontId="47" fillId="2" borderId="0" xfId="3" applyFont="1" applyFill="1" applyAlignment="1" applyProtection="1">
      <alignment horizontal="left" vertical="top" wrapText="1"/>
      <protection hidden="1"/>
    </xf>
    <xf numFmtId="0" fontId="46" fillId="2" borderId="32" xfId="3" applyFont="1" applyFill="1" applyBorder="1" applyAlignment="1" applyProtection="1">
      <alignment horizontal="left" vertical="center"/>
      <protection hidden="1"/>
    </xf>
    <xf numFmtId="0" fontId="47" fillId="2" borderId="32" xfId="3" applyFont="1" applyFill="1" applyBorder="1" applyAlignment="1" applyProtection="1">
      <alignment horizontal="left" vertical="center"/>
      <protection hidden="1"/>
    </xf>
    <xf numFmtId="0" fontId="47" fillId="2" borderId="32" xfId="3" applyFont="1" applyFill="1" applyBorder="1" applyAlignment="1" applyProtection="1">
      <alignment horizontal="center" vertical="center"/>
      <protection hidden="1"/>
    </xf>
    <xf numFmtId="0" fontId="48" fillId="2" borderId="32" xfId="3" applyFont="1" applyFill="1" applyBorder="1" applyAlignment="1" applyProtection="1">
      <alignment horizontal="center" vertical="center"/>
      <protection hidden="1"/>
    </xf>
    <xf numFmtId="0" fontId="49" fillId="2" borderId="0" xfId="3" applyFont="1" applyFill="1" applyAlignment="1" applyProtection="1">
      <alignment horizontal="left" vertical="center"/>
      <protection hidden="1"/>
    </xf>
    <xf numFmtId="0" fontId="48" fillId="16" borderId="13" xfId="3" applyFont="1" applyFill="1" applyBorder="1" applyAlignment="1" applyProtection="1">
      <alignment horizontal="center" vertical="center"/>
      <protection hidden="1"/>
    </xf>
    <xf numFmtId="0" fontId="48" fillId="16" borderId="25" xfId="3" applyFont="1" applyFill="1" applyBorder="1" applyAlignment="1" applyProtection="1">
      <alignment horizontal="center" vertical="center"/>
      <protection hidden="1"/>
    </xf>
    <xf numFmtId="0" fontId="48" fillId="16" borderId="0" xfId="3" applyFont="1" applyFill="1" applyAlignment="1" applyProtection="1">
      <alignment horizontal="center" vertical="center"/>
      <protection hidden="1"/>
    </xf>
    <xf numFmtId="0" fontId="48" fillId="16" borderId="27" xfId="3" applyFont="1" applyFill="1" applyBorder="1" applyAlignment="1" applyProtection="1">
      <alignment horizontal="center" vertical="center"/>
      <protection hidden="1"/>
    </xf>
    <xf numFmtId="178" fontId="48" fillId="2" borderId="0" xfId="3" applyNumberFormat="1" applyFont="1" applyFill="1" applyAlignment="1" applyProtection="1">
      <alignment horizontal="right" vertical="center"/>
      <protection hidden="1"/>
    </xf>
    <xf numFmtId="0" fontId="48" fillId="2" borderId="0" xfId="3" applyFont="1" applyFill="1" applyAlignment="1" applyProtection="1">
      <alignment horizontal="right" vertical="center"/>
      <protection hidden="1"/>
    </xf>
    <xf numFmtId="178" fontId="48" fillId="2" borderId="0" xfId="1" applyNumberFormat="1" applyFont="1" applyFill="1" applyAlignment="1" applyProtection="1">
      <alignment horizontal="right" vertical="center"/>
      <protection hidden="1"/>
    </xf>
    <xf numFmtId="0" fontId="48" fillId="6" borderId="0" xfId="3" applyFont="1" applyFill="1" applyAlignment="1" applyProtection="1">
      <alignment horizontal="center" vertical="center"/>
      <protection hidden="1"/>
    </xf>
    <xf numFmtId="178" fontId="48" fillId="6" borderId="0" xfId="1" applyNumberFormat="1" applyFont="1" applyFill="1" applyAlignment="1" applyProtection="1">
      <alignment horizontal="right" vertical="center"/>
      <protection hidden="1"/>
    </xf>
    <xf numFmtId="178" fontId="48" fillId="6" borderId="0" xfId="3" applyNumberFormat="1" applyFont="1" applyFill="1" applyAlignment="1" applyProtection="1">
      <alignment horizontal="right" vertical="center"/>
      <protection hidden="1"/>
    </xf>
    <xf numFmtId="0" fontId="48" fillId="6" borderId="41" xfId="3" applyFont="1" applyFill="1" applyBorder="1" applyAlignment="1" applyProtection="1">
      <alignment horizontal="center" vertical="center"/>
      <protection hidden="1"/>
    </xf>
    <xf numFmtId="178" fontId="48" fillId="6" borderId="41" xfId="1" applyNumberFormat="1" applyFont="1" applyFill="1" applyBorder="1" applyAlignment="1" applyProtection="1">
      <alignment horizontal="right" vertical="center"/>
      <protection hidden="1"/>
    </xf>
    <xf numFmtId="178" fontId="48" fillId="6" borderId="41" xfId="3" applyNumberFormat="1" applyFont="1" applyFill="1" applyBorder="1" applyAlignment="1" applyProtection="1">
      <alignment horizontal="right" vertical="center"/>
      <protection hidden="1"/>
    </xf>
    <xf numFmtId="178" fontId="48" fillId="2" borderId="0" xfId="3" applyNumberFormat="1" applyFont="1" applyFill="1" applyAlignment="1" applyProtection="1">
      <alignment horizontal="right"/>
      <protection hidden="1"/>
    </xf>
    <xf numFmtId="0" fontId="48" fillId="2" borderId="0" xfId="3" applyFont="1" applyFill="1" applyAlignment="1" applyProtection="1">
      <alignment horizontal="center"/>
      <protection hidden="1"/>
    </xf>
    <xf numFmtId="178" fontId="48" fillId="2" borderId="0" xfId="1" applyNumberFormat="1" applyFont="1" applyFill="1" applyAlignment="1" applyProtection="1">
      <alignment horizontal="right"/>
      <protection hidden="1"/>
    </xf>
    <xf numFmtId="178" fontId="48" fillId="6" borderId="0" xfId="3" applyNumberFormat="1" applyFont="1" applyFill="1" applyAlignment="1" applyProtection="1">
      <alignment horizontal="right"/>
      <protection hidden="1"/>
    </xf>
    <xf numFmtId="0" fontId="48" fillId="6" borderId="0" xfId="3" applyFont="1" applyFill="1" applyAlignment="1" applyProtection="1">
      <alignment horizontal="center"/>
      <protection hidden="1"/>
    </xf>
    <xf numFmtId="178" fontId="48" fillId="6" borderId="0" xfId="1" applyNumberFormat="1" applyFont="1" applyFill="1" applyAlignment="1" applyProtection="1">
      <alignment horizontal="right"/>
      <protection hidden="1"/>
    </xf>
    <xf numFmtId="178" fontId="48" fillId="6" borderId="0" xfId="1" applyNumberFormat="1" applyFont="1" applyFill="1" applyBorder="1" applyAlignment="1" applyProtection="1">
      <alignment horizontal="right"/>
      <protection hidden="1"/>
    </xf>
    <xf numFmtId="178" fontId="48" fillId="6" borderId="28" xfId="3" applyNumberFormat="1" applyFont="1" applyFill="1" applyBorder="1" applyAlignment="1" applyProtection="1">
      <alignment horizontal="right"/>
      <protection hidden="1"/>
    </xf>
    <xf numFmtId="0" fontId="48" fillId="2" borderId="0" xfId="3" applyFont="1" applyFill="1" applyAlignment="1" applyProtection="1">
      <alignment horizontal="left" vertical="top"/>
      <protection hidden="1"/>
    </xf>
    <xf numFmtId="0" fontId="48" fillId="6" borderId="28" xfId="3" applyFont="1" applyFill="1" applyBorder="1" applyAlignment="1" applyProtection="1">
      <alignment horizontal="center"/>
      <protection hidden="1"/>
    </xf>
    <xf numFmtId="178" fontId="48" fillId="6" borderId="28" xfId="1" applyNumberFormat="1" applyFont="1" applyFill="1" applyBorder="1" applyAlignment="1" applyProtection="1">
      <alignment horizontal="right"/>
      <protection hidden="1"/>
    </xf>
    <xf numFmtId="0" fontId="63" fillId="2" borderId="0" xfId="3" applyFont="1" applyFill="1" applyAlignment="1" applyProtection="1">
      <alignment horizontal="left" vertical="top"/>
      <protection hidden="1"/>
    </xf>
    <xf numFmtId="178" fontId="48" fillId="2" borderId="41" xfId="3" applyNumberFormat="1" applyFont="1" applyFill="1" applyBorder="1" applyAlignment="1" applyProtection="1">
      <alignment horizontal="right" vertical="center"/>
      <protection hidden="1"/>
    </xf>
    <xf numFmtId="0" fontId="48" fillId="2" borderId="41" xfId="3" applyFont="1" applyFill="1" applyBorder="1" applyAlignment="1" applyProtection="1">
      <alignment horizontal="center" vertical="center"/>
      <protection hidden="1"/>
    </xf>
    <xf numFmtId="178" fontId="48" fillId="2" borderId="41" xfId="1" applyNumberFormat="1" applyFont="1" applyFill="1" applyBorder="1" applyAlignment="1" applyProtection="1">
      <alignment horizontal="right" vertical="center"/>
      <protection hidden="1"/>
    </xf>
    <xf numFmtId="0" fontId="40" fillId="3" borderId="0" xfId="0" applyFont="1" applyFill="1" applyAlignment="1">
      <alignment horizontal="center" vertical="center"/>
    </xf>
    <xf numFmtId="0" fontId="56" fillId="6" borderId="14" xfId="0" applyFont="1" applyFill="1" applyBorder="1" applyAlignment="1">
      <alignment horizontal="center" vertical="center"/>
    </xf>
    <xf numFmtId="0" fontId="57" fillId="6" borderId="15" xfId="0" applyFont="1" applyFill="1" applyBorder="1" applyAlignment="1">
      <alignment horizontal="center" vertical="center"/>
    </xf>
    <xf numFmtId="0" fontId="57" fillId="6" borderId="16" xfId="0" applyFont="1" applyFill="1" applyBorder="1" applyAlignment="1">
      <alignment horizontal="center" vertical="center"/>
    </xf>
    <xf numFmtId="0" fontId="58" fillId="7" borderId="14" xfId="0" applyFont="1" applyFill="1" applyBorder="1" applyAlignment="1">
      <alignment horizontal="center" vertical="center"/>
    </xf>
    <xf numFmtId="0" fontId="29" fillId="7" borderId="15" xfId="0" applyFont="1" applyFill="1" applyBorder="1" applyAlignment="1">
      <alignment horizontal="center" vertical="center"/>
    </xf>
    <xf numFmtId="0" fontId="29" fillId="7" borderId="16" xfId="0" applyFont="1" applyFill="1" applyBorder="1" applyAlignment="1">
      <alignment horizontal="center" vertical="center"/>
    </xf>
    <xf numFmtId="0" fontId="29" fillId="7" borderId="14" xfId="0" applyFont="1" applyFill="1" applyBorder="1" applyAlignment="1">
      <alignment horizontal="center" vertical="center"/>
    </xf>
    <xf numFmtId="0" fontId="54" fillId="8" borderId="14" xfId="0" applyFont="1" applyFill="1" applyBorder="1" applyAlignment="1">
      <alignment horizontal="center" vertical="center"/>
    </xf>
    <xf numFmtId="0" fontId="54" fillId="8" borderId="15" xfId="0" applyFont="1" applyFill="1" applyBorder="1" applyAlignment="1">
      <alignment horizontal="center" vertical="center"/>
    </xf>
    <xf numFmtId="0" fontId="54" fillId="8" borderId="16" xfId="0" applyFont="1" applyFill="1" applyBorder="1" applyAlignment="1">
      <alignment horizontal="center" vertical="center"/>
    </xf>
    <xf numFmtId="0" fontId="55" fillId="2" borderId="0" xfId="0" applyFont="1" applyFill="1" applyAlignment="1">
      <alignment horizontal="center" vertical="center"/>
    </xf>
    <xf numFmtId="0" fontId="58" fillId="7" borderId="15" xfId="0" applyFont="1" applyFill="1" applyBorder="1" applyAlignment="1">
      <alignment horizontal="center" vertical="center"/>
    </xf>
    <xf numFmtId="0" fontId="58" fillId="7" borderId="16" xfId="0" applyFont="1" applyFill="1" applyBorder="1" applyAlignment="1">
      <alignment horizontal="center" vertical="center"/>
    </xf>
    <xf numFmtId="0" fontId="77" fillId="7" borderId="14" xfId="0" applyFont="1" applyFill="1" applyBorder="1" applyAlignment="1">
      <alignment horizontal="center" vertical="center"/>
    </xf>
    <xf numFmtId="0" fontId="29" fillId="11" borderId="13" xfId="3" applyFont="1" applyFill="1" applyBorder="1" applyAlignment="1" applyProtection="1">
      <alignment horizontal="center" vertical="center"/>
      <protection hidden="1"/>
    </xf>
    <xf numFmtId="0" fontId="29" fillId="11" borderId="25" xfId="3" applyFont="1" applyFill="1" applyBorder="1" applyAlignment="1" applyProtection="1">
      <alignment horizontal="center" vertical="center"/>
      <protection hidden="1"/>
    </xf>
    <xf numFmtId="0" fontId="29" fillId="12" borderId="26" xfId="3" applyFont="1" applyFill="1" applyBorder="1" applyAlignment="1" applyProtection="1">
      <alignment horizontal="center" vertical="center"/>
      <protection hidden="1"/>
    </xf>
    <xf numFmtId="0" fontId="29" fillId="12" borderId="13" xfId="3" applyFont="1" applyFill="1" applyBorder="1" applyAlignment="1" applyProtection="1">
      <alignment horizontal="center" vertical="center"/>
      <protection hidden="1"/>
    </xf>
  </cellXfs>
  <cellStyles count="9">
    <cellStyle name="一般" xfId="0" builtinId="0"/>
    <cellStyle name="一般 2" xfId="5" xr:uid="{D186A079-3510-C84E-8013-6DB3104BCF6E}"/>
    <cellStyle name="一般 3" xfId="6" xr:uid="{27504F3D-92DF-7C40-A368-7A88B38F28FC}"/>
    <cellStyle name="一般 5" xfId="7" xr:uid="{E8396B8C-DBF1-4F8F-B5C8-9531DDFF0A1C}"/>
    <cellStyle name="一般 7" xfId="3" xr:uid="{E4C6179E-F748-B641-8AFD-E6A4D0EE6D31}"/>
    <cellStyle name="一般_FX_factor_0715" xfId="4" xr:uid="{03C01B5E-A5ED-4C49-BFAA-162A365D0AAF}"/>
    <cellStyle name="一般_SPMRTA" xfId="8" xr:uid="{A76C7793-8138-43E1-8B1E-C80EB4C9C0FD}"/>
    <cellStyle name="千分位" xfId="1" builtinId="3"/>
    <cellStyle name="超連結" xfId="2" builtinId="8"/>
  </cellStyles>
  <dxfs count="32">
    <dxf>
      <font>
        <b/>
        <i val="0"/>
        <color rgb="FFFF4F4F"/>
      </font>
    </dxf>
    <dxf>
      <font>
        <color rgb="FFC00000"/>
      </font>
      <fill>
        <patternFill>
          <bgColor rgb="FFFFC7CE"/>
        </patternFill>
      </fill>
    </dxf>
    <dxf>
      <font>
        <color theme="0"/>
      </font>
      <fill>
        <patternFill>
          <bgColor theme="0" tint="-0.34998626667073579"/>
        </patternFill>
      </fill>
    </dxf>
    <dxf>
      <font>
        <color theme="0"/>
      </font>
      <fill>
        <patternFill>
          <bgColor theme="0" tint="-0.34998626667073579"/>
        </patternFill>
      </fill>
    </dxf>
    <dxf>
      <font>
        <color rgb="FFC00000"/>
      </font>
      <fill>
        <patternFill>
          <bgColor rgb="FFFFC7CE"/>
        </patternFill>
      </fill>
    </dxf>
    <dxf>
      <font>
        <color theme="0"/>
      </font>
      <fill>
        <patternFill>
          <bgColor theme="0" tint="-0.34998626667073579"/>
        </patternFill>
      </fill>
    </dxf>
    <dxf>
      <font>
        <color theme="0"/>
      </font>
      <fill>
        <patternFill>
          <bgColor theme="0" tint="-0.34998626667073579"/>
        </patternFill>
      </fill>
    </dxf>
    <dxf>
      <font>
        <color rgb="FFC00000"/>
      </font>
      <fill>
        <patternFill>
          <bgColor rgb="FFFFC7CE"/>
        </patternFill>
      </fill>
    </dxf>
    <dxf>
      <font>
        <color theme="0"/>
      </font>
      <fill>
        <patternFill>
          <bgColor theme="0" tint="-0.34998626667073579"/>
        </patternFill>
      </fill>
    </dxf>
    <dxf>
      <font>
        <color rgb="FFC00000"/>
      </font>
      <fill>
        <patternFill>
          <bgColor rgb="FFFFC7CE"/>
        </patternFill>
      </fill>
    </dxf>
    <dxf>
      <font>
        <color theme="0"/>
      </font>
      <fill>
        <patternFill>
          <bgColor theme="0" tint="-0.34998626667073579"/>
        </patternFill>
      </fill>
    </dxf>
    <dxf>
      <font>
        <color rgb="FFC00000"/>
      </font>
      <fill>
        <patternFill>
          <bgColor rgb="FFFFC7CE"/>
        </patternFill>
      </fill>
    </dxf>
    <dxf>
      <font>
        <color theme="0"/>
      </font>
      <fill>
        <patternFill>
          <bgColor theme="0" tint="-0.34998626667073579"/>
        </patternFill>
      </fill>
    </dxf>
    <dxf>
      <font>
        <color theme="0" tint="-0.34998626667073579"/>
      </font>
      <fill>
        <patternFill>
          <bgColor theme="0" tint="-0.34998626667073579"/>
        </patternFill>
      </fill>
    </dxf>
    <dxf>
      <font>
        <color rgb="FFC00000"/>
      </font>
      <fill>
        <patternFill>
          <bgColor rgb="FFFFC7CE"/>
        </patternFill>
      </fill>
    </dxf>
    <dxf>
      <font>
        <color theme="0"/>
      </font>
      <fill>
        <patternFill>
          <bgColor theme="0" tint="-0.34998626667073579"/>
        </patternFill>
      </fill>
    </dxf>
    <dxf>
      <font>
        <color rgb="FFC00000"/>
      </font>
      <fill>
        <patternFill>
          <bgColor rgb="FFFFC7CE"/>
        </patternFill>
      </fill>
    </dxf>
    <dxf>
      <font>
        <color theme="0"/>
      </font>
      <fill>
        <patternFill>
          <bgColor theme="0" tint="-0.34998626667073579"/>
        </patternFill>
      </fill>
    </dxf>
    <dxf>
      <font>
        <color theme="0" tint="-0.34998626667073579"/>
      </font>
      <fill>
        <patternFill>
          <bgColor theme="0" tint="-0.34998626667073579"/>
        </patternFill>
      </fill>
    </dxf>
    <dxf>
      <font>
        <color rgb="FFC00000"/>
      </font>
      <fill>
        <patternFill>
          <bgColor rgb="FFFFC7CE"/>
        </patternFill>
      </fill>
    </dxf>
    <dxf>
      <font>
        <color theme="0"/>
      </font>
      <fill>
        <patternFill>
          <bgColor theme="0" tint="-0.34998626667073579"/>
        </patternFill>
      </fill>
    </dxf>
    <dxf>
      <font>
        <color theme="0" tint="-0.34998626667073579"/>
      </font>
      <fill>
        <patternFill>
          <bgColor theme="0" tint="-0.34998626667073579"/>
        </patternFill>
      </fill>
    </dxf>
    <dxf>
      <font>
        <color rgb="FFC00000"/>
      </font>
      <fill>
        <patternFill>
          <bgColor rgb="FFFFC7CE"/>
        </patternFill>
      </fill>
    </dxf>
    <dxf>
      <font>
        <color theme="0"/>
      </font>
      <fill>
        <patternFill>
          <bgColor theme="0" tint="-0.34998626667073579"/>
        </patternFill>
      </fill>
    </dxf>
    <dxf>
      <font>
        <color rgb="FF9C0006"/>
      </font>
      <fill>
        <patternFill>
          <bgColor rgb="FFFFC7CE"/>
        </patternFill>
      </fill>
    </dxf>
    <dxf>
      <font>
        <color rgb="FFC00000"/>
      </font>
      <fill>
        <patternFill>
          <bgColor rgb="FFFFC7CE"/>
        </patternFill>
      </fill>
    </dxf>
    <dxf>
      <font>
        <color rgb="FFC00000"/>
      </font>
      <fill>
        <patternFill>
          <bgColor rgb="FFFAC7CE"/>
        </patternFill>
      </fill>
    </dxf>
    <dxf>
      <font>
        <color theme="0"/>
      </font>
      <fill>
        <patternFill>
          <bgColor theme="0" tint="-0.34998626667073579"/>
        </patternFill>
      </fill>
    </dxf>
    <dxf>
      <font>
        <color rgb="FF9C0006"/>
      </font>
      <fill>
        <patternFill>
          <bgColor rgb="FFFFC7CE"/>
        </patternFill>
      </fill>
    </dxf>
    <dxf>
      <font>
        <color rgb="FFC00000"/>
      </font>
      <fill>
        <patternFill>
          <bgColor rgb="FFFFC7CE"/>
        </patternFill>
      </fill>
    </dxf>
    <dxf>
      <font>
        <color rgb="FFC00000"/>
      </font>
      <fill>
        <patternFill>
          <bgColor rgb="FFFAC7CE"/>
        </patternFill>
      </fill>
    </dxf>
    <dxf>
      <font>
        <color rgb="FF9C0006"/>
      </font>
      <fill>
        <patternFill>
          <bgColor rgb="FFFFC7CE"/>
        </patternFill>
      </fill>
    </dxf>
  </dxfs>
  <tableStyles count="0" defaultTableStyle="TableStyleMedium2" defaultPivotStyle="PivotStyleLight16"/>
  <colors>
    <mruColors>
      <color rgb="FFFAC7CE"/>
      <color rgb="FFFAC8C8"/>
      <color rgb="FFFF1919"/>
      <color rgb="FFFF2F2F"/>
      <color rgb="FFFF3F3F"/>
      <color rgb="FFFF5757"/>
      <color rgb="FFFFDEBD"/>
      <color rgb="FFFFC7CE"/>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4DCC0-733C-184A-8317-D92D27A3240D}">
  <dimension ref="B1:R66"/>
  <sheetViews>
    <sheetView tabSelected="1" zoomScale="90" zoomScaleNormal="90" workbookViewId="0">
      <selection activeCell="D6" sqref="D6"/>
    </sheetView>
  </sheetViews>
  <sheetFormatPr defaultColWidth="10.7265625" defaultRowHeight="17"/>
  <cols>
    <col min="1" max="1" width="2.36328125" style="1" customWidth="1"/>
    <col min="2" max="2" width="7.6328125" style="1" customWidth="1"/>
    <col min="3" max="3" width="11.6328125" style="1" customWidth="1"/>
    <col min="4" max="7" width="12.6328125" style="1" customWidth="1"/>
    <col min="8" max="9" width="10.6328125" style="1" customWidth="1"/>
    <col min="10" max="10" width="8.7265625" style="1" hidden="1" customWidth="1"/>
    <col min="11" max="12" width="6.6328125" style="1" customWidth="1"/>
    <col min="13" max="13" width="10.6328125" style="1" customWidth="1"/>
    <col min="14" max="15" width="8.6328125" style="1" customWidth="1"/>
    <col min="16" max="16" width="10.6328125" style="1" customWidth="1"/>
    <col min="17" max="17" width="5.6328125" style="1" customWidth="1"/>
    <col min="18" max="18" width="24.7265625" style="1" customWidth="1"/>
    <col min="19" max="16384" width="10.7265625" style="1"/>
  </cols>
  <sheetData>
    <row r="1" spans="2:18" ht="20.149999999999999" customHeight="1">
      <c r="B1" s="187" t="s">
        <v>165</v>
      </c>
      <c r="C1" s="187"/>
      <c r="D1" s="187"/>
      <c r="E1" s="187"/>
      <c r="F1" s="187"/>
      <c r="G1" s="187"/>
      <c r="H1" s="187"/>
      <c r="I1" s="187"/>
      <c r="J1" s="187"/>
      <c r="K1" s="187"/>
      <c r="L1" s="187"/>
      <c r="M1" s="187"/>
      <c r="N1" s="187"/>
      <c r="O1" s="187"/>
      <c r="P1" s="187"/>
    </row>
    <row r="2" spans="2:18" ht="20.149999999999999" customHeight="1">
      <c r="B2" s="187"/>
      <c r="C2" s="187"/>
      <c r="D2" s="187"/>
      <c r="E2" s="187"/>
      <c r="F2" s="187"/>
      <c r="G2" s="187"/>
      <c r="H2" s="187"/>
      <c r="I2" s="187"/>
      <c r="J2" s="187"/>
      <c r="K2" s="187"/>
      <c r="L2" s="187"/>
      <c r="M2" s="187"/>
      <c r="N2" s="187"/>
      <c r="O2" s="187"/>
      <c r="P2" s="187"/>
    </row>
    <row r="3" spans="2:18" ht="15" customHeight="1" thickBot="1"/>
    <row r="4" spans="2:18" ht="20.149999999999999" customHeight="1" thickBot="1">
      <c r="B4" s="188" t="s">
        <v>15</v>
      </c>
      <c r="C4" s="189"/>
      <c r="D4" s="2"/>
      <c r="E4" s="2"/>
      <c r="F4" s="2"/>
      <c r="G4" s="2"/>
      <c r="H4" s="201"/>
      <c r="I4" s="201"/>
      <c r="J4" s="2"/>
      <c r="K4" s="2"/>
      <c r="L4" s="2"/>
      <c r="M4" s="2"/>
      <c r="N4" s="2"/>
      <c r="O4" s="2"/>
      <c r="P4" s="140" t="s">
        <v>324</v>
      </c>
    </row>
    <row r="5" spans="2:18" ht="7.9" customHeight="1" thickBot="1">
      <c r="B5" s="10"/>
      <c r="C5" s="11"/>
      <c r="D5" s="11"/>
      <c r="E5" s="11"/>
      <c r="F5" s="11"/>
      <c r="G5" s="12"/>
      <c r="H5" s="13"/>
      <c r="I5" s="13"/>
      <c r="J5" s="14"/>
      <c r="K5" s="15"/>
      <c r="L5" s="14"/>
      <c r="M5" s="15"/>
      <c r="N5" s="15"/>
      <c r="O5" s="16"/>
      <c r="P5" s="3"/>
    </row>
    <row r="6" spans="2:18" ht="20.149999999999999" customHeight="1" thickBot="1">
      <c r="B6" s="17"/>
      <c r="C6" s="18" t="s">
        <v>164</v>
      </c>
      <c r="D6" s="71">
        <v>1</v>
      </c>
      <c r="E6" s="19"/>
      <c r="F6" s="19"/>
      <c r="G6" s="66"/>
      <c r="H6" s="67"/>
      <c r="I6" s="67"/>
      <c r="J6" s="20"/>
      <c r="K6" s="68"/>
      <c r="L6" s="20"/>
      <c r="M6" s="68"/>
      <c r="N6" s="68"/>
      <c r="O6" s="69"/>
      <c r="P6" s="6"/>
    </row>
    <row r="7" spans="2:18" ht="20.149999999999999" customHeight="1">
      <c r="B7" s="17"/>
      <c r="C7" s="4"/>
      <c r="D7" s="4"/>
      <c r="E7" s="4"/>
      <c r="F7" s="4"/>
      <c r="G7" s="4"/>
      <c r="H7" s="202" t="s">
        <v>23</v>
      </c>
      <c r="I7" s="202"/>
      <c r="J7" s="20"/>
      <c r="K7" s="202" t="s">
        <v>16</v>
      </c>
      <c r="L7" s="202"/>
      <c r="M7" s="4"/>
      <c r="N7" s="185" t="s">
        <v>20</v>
      </c>
      <c r="O7" s="185"/>
      <c r="P7" s="186"/>
      <c r="R7" s="72" t="str">
        <f>IF(AND(DPAA保額&lt;&gt;"",保費分齡表對應&lt;&gt;1),"","保費分齡表(0歲-15歲)")</f>
        <v>保費分齡表(0歲-15歲)</v>
      </c>
    </row>
    <row r="8" spans="2:18" ht="7.9" customHeight="1" thickBot="1">
      <c r="B8" s="17"/>
      <c r="C8" s="18"/>
      <c r="D8" s="19"/>
      <c r="E8" s="19"/>
      <c r="F8" s="19"/>
      <c r="G8" s="21"/>
      <c r="H8" s="21"/>
      <c r="I8" s="21"/>
      <c r="J8" s="5"/>
      <c r="K8" s="21"/>
      <c r="L8" s="21"/>
      <c r="M8" s="22"/>
      <c r="N8" s="22"/>
      <c r="O8" s="5"/>
      <c r="P8" s="6"/>
      <c r="R8" s="73"/>
    </row>
    <row r="9" spans="2:18" ht="20.149999999999999" customHeight="1" thickBot="1">
      <c r="B9" s="17"/>
      <c r="C9" s="18" t="s">
        <v>17</v>
      </c>
      <c r="D9" s="205" t="s">
        <v>308</v>
      </c>
      <c r="E9" s="206"/>
      <c r="F9" s="206"/>
      <c r="G9" s="207"/>
      <c r="H9" s="182" t="str">
        <f ca="1">IF(總檢核,商品代號,"")</f>
        <v>AHIRLB1</v>
      </c>
      <c r="I9" s="182"/>
      <c r="J9" s="74"/>
      <c r="K9" s="203">
        <v>20</v>
      </c>
      <c r="L9" s="204"/>
      <c r="M9" s="93" t="s">
        <v>149</v>
      </c>
      <c r="N9" s="183">
        <v>10</v>
      </c>
      <c r="O9" s="184"/>
      <c r="P9" s="92" t="str">
        <f>投保單位</f>
        <v>計劃</v>
      </c>
      <c r="R9" s="72" t="str">
        <f>IF(AND(DPAA保額&lt;&gt;"",保費分齡表對應&lt;&gt;2),"","保費分齡表(16歲-65歲)")</f>
        <v>保費分齡表(16歲-65歲)</v>
      </c>
    </row>
    <row r="10" spans="2:18" ht="7.9" hidden="1" customHeight="1" thickBot="1">
      <c r="B10" s="17"/>
      <c r="C10" s="18"/>
      <c r="D10" s="211"/>
      <c r="E10" s="211"/>
      <c r="F10" s="211"/>
      <c r="G10" s="211"/>
      <c r="H10" s="213"/>
      <c r="I10" s="213"/>
      <c r="J10" s="74"/>
      <c r="K10" s="75"/>
      <c r="L10" s="75"/>
      <c r="M10" s="22"/>
      <c r="N10" s="180"/>
      <c r="O10" s="180"/>
      <c r="P10" s="27"/>
      <c r="R10" s="73"/>
    </row>
    <row r="11" spans="2:18" ht="17.5" hidden="1" thickBot="1">
      <c r="B11" s="17"/>
      <c r="C11" s="18" t="s">
        <v>18</v>
      </c>
      <c r="D11" s="212" t="str">
        <f>BNLTRN1商品名稱</f>
        <v>保誠人壽喜樂定期壽險附約</v>
      </c>
      <c r="E11" s="212"/>
      <c r="F11" s="212"/>
      <c r="G11" s="212"/>
      <c r="H11" s="182" t="str">
        <f>BNLTRN1商品代號</f>
        <v>BNLTRN1</v>
      </c>
      <c r="I11" s="182"/>
      <c r="J11" s="76"/>
      <c r="K11" s="208"/>
      <c r="L11" s="209"/>
      <c r="M11" s="5" t="s">
        <v>24</v>
      </c>
      <c r="N11" s="216"/>
      <c r="O11" s="217"/>
      <c r="P11" s="23" t="s">
        <v>21</v>
      </c>
      <c r="R11" s="73"/>
    </row>
    <row r="12" spans="2:18" ht="7.9" hidden="1" customHeight="1" thickBot="1">
      <c r="B12" s="17"/>
      <c r="C12" s="18"/>
      <c r="D12" s="177"/>
      <c r="E12" s="177"/>
      <c r="F12" s="177"/>
      <c r="G12" s="177"/>
      <c r="H12" s="178"/>
      <c r="I12" s="178"/>
      <c r="J12" s="76"/>
      <c r="K12" s="210"/>
      <c r="L12" s="210"/>
      <c r="M12" s="22"/>
      <c r="N12" s="180"/>
      <c r="O12" s="180"/>
      <c r="P12" s="27"/>
      <c r="R12" s="73"/>
    </row>
    <row r="13" spans="2:18" ht="20.149999999999999" hidden="1" customHeight="1" thickBot="1">
      <c r="B13" s="17"/>
      <c r="C13" s="18" t="s">
        <v>18</v>
      </c>
      <c r="D13" s="212" t="str">
        <f>AMRNTR1商品名稱</f>
        <v>保誠人壽新住院醫療限額給付健康保險附約(108)</v>
      </c>
      <c r="E13" s="212"/>
      <c r="F13" s="212"/>
      <c r="G13" s="212"/>
      <c r="H13" s="182" t="str">
        <f>AMRNTR1商品代號</f>
        <v>AMRNTR1</v>
      </c>
      <c r="I13" s="182"/>
      <c r="J13" s="76"/>
      <c r="K13" s="182" t="s">
        <v>168</v>
      </c>
      <c r="L13" s="182"/>
      <c r="M13" s="5"/>
      <c r="N13" s="183"/>
      <c r="O13" s="184"/>
      <c r="P13" s="92" t="s">
        <v>22</v>
      </c>
      <c r="R13" s="72" t="str">
        <f>IF(AND(DPAA保額&lt;&gt;"",保費分齡表對應&lt;&gt;3),"","保費分齡表(66歲以上)")</f>
        <v>保費分齡表(66歲以上)</v>
      </c>
    </row>
    <row r="14" spans="2:18" ht="7.9" customHeight="1" thickBot="1">
      <c r="B14" s="17"/>
      <c r="C14" s="18"/>
      <c r="D14" s="212"/>
      <c r="E14" s="212"/>
      <c r="F14" s="212"/>
      <c r="G14" s="212"/>
      <c r="H14" s="182"/>
      <c r="I14" s="182"/>
      <c r="J14" s="76"/>
      <c r="K14" s="179"/>
      <c r="L14" s="179"/>
      <c r="M14" s="22"/>
      <c r="N14" s="180"/>
      <c r="O14" s="180"/>
      <c r="P14" s="27"/>
    </row>
    <row r="15" spans="2:18" ht="20.149999999999999" customHeight="1" thickBot="1">
      <c r="B15" s="17"/>
      <c r="C15" s="18" t="s">
        <v>18</v>
      </c>
      <c r="D15" s="212" t="str">
        <f>ADDNTR1商品名稱</f>
        <v>保誠人壽一年定期重大疾病健康保險附約(乙型)</v>
      </c>
      <c r="E15" s="212"/>
      <c r="F15" s="212"/>
      <c r="G15" s="212"/>
      <c r="H15" s="182" t="str">
        <f>ADDNTR1商品代號</f>
        <v>ADDNTR1</v>
      </c>
      <c r="I15" s="182"/>
      <c r="J15" s="76"/>
      <c r="K15" s="182" t="s">
        <v>168</v>
      </c>
      <c r="L15" s="182"/>
      <c r="M15" s="5"/>
      <c r="N15" s="183"/>
      <c r="O15" s="184"/>
      <c r="P15" s="92" t="s">
        <v>21</v>
      </c>
      <c r="R15" s="72" t="str">
        <f>IF(AND(DPAA保額&lt;&gt;"",保費分齡表對應&lt;&gt;3),"","保費分齡表(66歲以上)")</f>
        <v>保費分齡表(66歲以上)</v>
      </c>
    </row>
    <row r="16" spans="2:18" ht="7.9" customHeight="1" thickBot="1">
      <c r="B16" s="17"/>
      <c r="C16" s="18"/>
      <c r="D16" s="218"/>
      <c r="E16" s="218"/>
      <c r="F16" s="218"/>
      <c r="G16" s="218"/>
      <c r="H16" s="214"/>
      <c r="I16" s="214"/>
      <c r="J16" s="76"/>
      <c r="K16" s="179"/>
      <c r="L16" s="179"/>
      <c r="M16" s="22"/>
      <c r="N16" s="180"/>
      <c r="O16" s="180"/>
      <c r="P16" s="27"/>
    </row>
    <row r="17" spans="2:16" ht="20.149999999999999" customHeight="1" thickBot="1">
      <c r="B17" s="17"/>
      <c r="C17" s="18" t="s">
        <v>18</v>
      </c>
      <c r="D17" s="220" t="s">
        <v>323</v>
      </c>
      <c r="E17" s="221"/>
      <c r="F17" s="222"/>
      <c r="G17" s="91" t="str">
        <f>IF(D17="保誠人壽人身意外傷害保險附約(111)            ※0-15歲","※0~15歲",IF(D17="保誠人壽人身意外傷害保險附約(111)            ※16-65歲","※16~65歲","※66~70歲"))</f>
        <v>※16~65歲</v>
      </c>
      <c r="H17" s="182" t="str">
        <f>DPAA商品代號</f>
        <v>DPAA</v>
      </c>
      <c r="I17" s="182"/>
      <c r="J17" s="76"/>
      <c r="K17" s="182" t="s">
        <v>168</v>
      </c>
      <c r="L17" s="182"/>
      <c r="M17" s="5"/>
      <c r="N17" s="183"/>
      <c r="O17" s="184"/>
      <c r="P17" s="92" t="s">
        <v>21</v>
      </c>
    </row>
    <row r="18" spans="2:16" ht="7.9" customHeight="1" thickBot="1">
      <c r="B18" s="17"/>
      <c r="C18" s="18"/>
      <c r="D18" s="212"/>
      <c r="E18" s="212"/>
      <c r="F18" s="212"/>
      <c r="G18" s="212"/>
      <c r="H18" s="182"/>
      <c r="I18" s="182"/>
      <c r="J18" s="76"/>
      <c r="K18" s="179"/>
      <c r="L18" s="179"/>
      <c r="M18" s="22"/>
      <c r="N18" s="180"/>
      <c r="O18" s="180"/>
      <c r="P18" s="27"/>
    </row>
    <row r="19" spans="2:16" ht="20.149999999999999" customHeight="1" thickBot="1">
      <c r="B19" s="17"/>
      <c r="C19" s="18" t="s">
        <v>18</v>
      </c>
      <c r="D19" s="212" t="str">
        <f>ML商品名稱</f>
        <v>保誠人壽人身意外傷害住院醫療定額給付附加條款</v>
      </c>
      <c r="E19" s="212"/>
      <c r="F19" s="212"/>
      <c r="G19" s="212"/>
      <c r="H19" s="182" t="str">
        <f>ML商品代號</f>
        <v>ML</v>
      </c>
      <c r="I19" s="182"/>
      <c r="J19" s="76"/>
      <c r="K19" s="182" t="s">
        <v>168</v>
      </c>
      <c r="L19" s="182"/>
      <c r="M19" s="5"/>
      <c r="N19" s="183"/>
      <c r="O19" s="184"/>
      <c r="P19" s="92" t="s">
        <v>22</v>
      </c>
    </row>
    <row r="20" spans="2:16" ht="7.9" customHeight="1" thickBot="1">
      <c r="B20" s="17"/>
      <c r="C20" s="18"/>
      <c r="D20" s="212"/>
      <c r="E20" s="212"/>
      <c r="F20" s="212"/>
      <c r="G20" s="212"/>
      <c r="H20" s="182"/>
      <c r="I20" s="182"/>
      <c r="J20" s="76"/>
      <c r="K20" s="179"/>
      <c r="L20" s="179"/>
      <c r="M20" s="22"/>
      <c r="N20" s="180"/>
      <c r="O20" s="180"/>
      <c r="P20" s="27"/>
    </row>
    <row r="21" spans="2:16" ht="20.149999999999999" hidden="1" customHeight="1" thickBot="1">
      <c r="B21" s="17"/>
      <c r="C21" s="18" t="s">
        <v>18</v>
      </c>
      <c r="D21" s="212" t="str">
        <f>MT商品名稱</f>
        <v>保誠人壽傷害醫療保險給付附加條款</v>
      </c>
      <c r="E21" s="212"/>
      <c r="F21" s="212"/>
      <c r="G21" s="212"/>
      <c r="H21" s="182" t="str">
        <f>MT商品代號</f>
        <v>MT</v>
      </c>
      <c r="I21" s="182"/>
      <c r="J21" s="76"/>
      <c r="K21" s="182" t="s">
        <v>168</v>
      </c>
      <c r="L21" s="182"/>
      <c r="M21" s="5"/>
      <c r="N21" s="183"/>
      <c r="O21" s="184"/>
      <c r="P21" s="92" t="s">
        <v>21</v>
      </c>
    </row>
    <row r="22" spans="2:16" ht="7.9" hidden="1" customHeight="1" thickBot="1">
      <c r="B22" s="17"/>
      <c r="C22" s="18"/>
      <c r="D22" s="219"/>
      <c r="E22" s="219"/>
      <c r="F22" s="219"/>
      <c r="G22" s="219"/>
      <c r="H22" s="215"/>
      <c r="I22" s="215"/>
      <c r="J22" s="77"/>
      <c r="K22" s="179"/>
      <c r="L22" s="179"/>
      <c r="M22" s="22"/>
      <c r="N22" s="180"/>
      <c r="O22" s="180"/>
      <c r="P22" s="27"/>
    </row>
    <row r="23" spans="2:16" ht="20.149999999999999" customHeight="1" thickBot="1">
      <c r="B23" s="17"/>
      <c r="C23" s="18" t="s">
        <v>18</v>
      </c>
      <c r="D23" s="218" t="str">
        <f>ACCNTR1商品名稱</f>
        <v>保誠人壽愛寶貝定期癌症健康保險附約</v>
      </c>
      <c r="E23" s="218"/>
      <c r="F23" s="218"/>
      <c r="G23" s="218"/>
      <c r="H23" s="178" t="str">
        <f>ACCNTR1商品代號</f>
        <v>ACCNTR1</v>
      </c>
      <c r="I23" s="178"/>
      <c r="J23" s="76"/>
      <c r="K23" s="182" t="s">
        <v>193</v>
      </c>
      <c r="L23" s="182"/>
      <c r="M23" s="5"/>
      <c r="N23" s="183"/>
      <c r="O23" s="184"/>
      <c r="P23" s="92" t="s">
        <v>19</v>
      </c>
    </row>
    <row r="24" spans="2:16" ht="7.9" customHeight="1" thickBot="1">
      <c r="B24" s="17"/>
      <c r="C24" s="18"/>
      <c r="D24" s="177"/>
      <c r="E24" s="177"/>
      <c r="F24" s="177"/>
      <c r="G24" s="177"/>
      <c r="H24" s="178"/>
      <c r="I24" s="178"/>
      <c r="J24" s="76"/>
      <c r="K24" s="179"/>
      <c r="L24" s="179"/>
      <c r="M24" s="22"/>
      <c r="N24" s="180"/>
      <c r="O24" s="180"/>
      <c r="P24" s="27"/>
    </row>
    <row r="25" spans="2:16" ht="20.149999999999999" customHeight="1" thickBot="1">
      <c r="B25" s="17"/>
      <c r="C25" s="18" t="s">
        <v>18</v>
      </c>
      <c r="D25" s="181" t="str">
        <f>ACCNTR2商品名稱</f>
        <v>保誠人壽標靶守護防癌健康保險附約</v>
      </c>
      <c r="E25" s="181"/>
      <c r="F25" s="181"/>
      <c r="G25" s="181"/>
      <c r="H25" s="178" t="str">
        <f>ACCNTR2商品代號</f>
        <v>ACCNTR2</v>
      </c>
      <c r="I25" s="178"/>
      <c r="J25" s="76"/>
      <c r="K25" s="182" t="s">
        <v>192</v>
      </c>
      <c r="L25" s="182"/>
      <c r="M25" s="5"/>
      <c r="N25" s="183"/>
      <c r="O25" s="184"/>
      <c r="P25" s="92" t="s">
        <v>21</v>
      </c>
    </row>
    <row r="26" spans="2:16" ht="7.9" customHeight="1" thickBot="1">
      <c r="B26" s="17"/>
      <c r="C26" s="18"/>
      <c r="D26" s="177"/>
      <c r="E26" s="177"/>
      <c r="F26" s="177"/>
      <c r="G26" s="177"/>
      <c r="H26" s="178"/>
      <c r="I26" s="178"/>
      <c r="J26" s="76"/>
      <c r="K26" s="179"/>
      <c r="L26" s="179"/>
      <c r="M26" s="22"/>
      <c r="N26" s="180"/>
      <c r="O26" s="180"/>
      <c r="P26" s="27"/>
    </row>
    <row r="27" spans="2:16" ht="20.149999999999999" customHeight="1" thickBot="1">
      <c r="B27" s="17"/>
      <c r="C27" s="18" t="s">
        <v>18</v>
      </c>
      <c r="D27" s="181" t="str">
        <f>ACCNTR3商品名稱</f>
        <v>保誠人壽愛要守護防癌健康保險附約</v>
      </c>
      <c r="E27" s="181"/>
      <c r="F27" s="181"/>
      <c r="G27" s="181"/>
      <c r="H27" s="178" t="str">
        <f>ACCNTR3商品代號</f>
        <v>ACCNTR3</v>
      </c>
      <c r="I27" s="178"/>
      <c r="J27" s="76"/>
      <c r="K27" s="182" t="s">
        <v>192</v>
      </c>
      <c r="L27" s="182"/>
      <c r="M27" s="5"/>
      <c r="N27" s="183"/>
      <c r="O27" s="184"/>
      <c r="P27" s="92" t="s">
        <v>21</v>
      </c>
    </row>
    <row r="28" spans="2:16" ht="7.9" customHeight="1" thickBot="1">
      <c r="B28" s="24"/>
      <c r="C28" s="25"/>
      <c r="D28" s="25"/>
      <c r="E28" s="7"/>
      <c r="F28" s="7"/>
      <c r="G28" s="26"/>
      <c r="H28" s="26"/>
      <c r="I28" s="26"/>
      <c r="J28" s="26"/>
      <c r="K28" s="26"/>
      <c r="L28" s="26"/>
      <c r="M28" s="26"/>
      <c r="N28" s="26"/>
      <c r="O28" s="26"/>
      <c r="P28" s="8"/>
    </row>
    <row r="29" spans="2:16" ht="20.149999999999999" customHeight="1" thickBot="1">
      <c r="B29" s="190" t="s">
        <v>14</v>
      </c>
      <c r="C29" s="191"/>
      <c r="D29" s="9"/>
      <c r="E29" s="2"/>
      <c r="F29" s="2"/>
      <c r="G29" s="2"/>
      <c r="H29" s="2"/>
      <c r="I29" s="2"/>
      <c r="J29" s="2"/>
      <c r="K29" s="2"/>
      <c r="L29" s="2"/>
      <c r="M29" s="2"/>
      <c r="N29" s="2"/>
      <c r="O29" s="2"/>
      <c r="P29" s="2"/>
    </row>
    <row r="30" spans="2:16">
      <c r="B30" s="192" t="str" cm="1">
        <f t="array" aca="1" ref="B30" ca="1">IF(資料檢核!C15&lt;&gt;1,資料檢核!D15,"")&amp;INDEX(資料檢核!H10:H14,資料檢核!G10)&amp;INDEX(資料檢核!D7:D10,資料檢核!C7)&amp;INDEX(資料檢核!D17:D19,資料檢核!C17)&amp;INDEX(資料檢核!H7:H8,資料檢核!G7)&amp;INDEX(資料檢核!D23:D27,資料檢核!C23)&amp;INDEX(資料檢核!H23:H26,資料檢核!G23)&amp;INDEX(資料檢核!L23:L28,資料檢核!K23)&amp;INDEX(資料檢核!D33:D37,資料檢核!C33)&amp;INDEX(資料檢核!H33:H36,資料檢核!G33)&amp;INDEX(資料檢核!L33:L38,資料檢核!K33)&amp;INDEX(資料檢核!D45:D47,資料檢核!C45)&amp;INDEX(資料檢核!H45:H49,資料檢核!G45)&amp;INDEX(資料檢核!L45:L49,資料檢核!K45)</f>
        <v/>
      </c>
      <c r="C30" s="193"/>
      <c r="D30" s="193"/>
      <c r="E30" s="193"/>
      <c r="F30" s="193"/>
      <c r="G30" s="193"/>
      <c r="H30" s="193"/>
      <c r="I30" s="193"/>
      <c r="J30" s="193"/>
      <c r="K30" s="193"/>
      <c r="L30" s="193"/>
      <c r="M30" s="193"/>
      <c r="N30" s="193"/>
      <c r="O30" s="193"/>
      <c r="P30" s="194"/>
    </row>
    <row r="31" spans="2:16">
      <c r="B31" s="195"/>
      <c r="C31" s="196"/>
      <c r="D31" s="196"/>
      <c r="E31" s="196"/>
      <c r="F31" s="196"/>
      <c r="G31" s="196"/>
      <c r="H31" s="196"/>
      <c r="I31" s="196"/>
      <c r="J31" s="196"/>
      <c r="K31" s="196"/>
      <c r="L31" s="196"/>
      <c r="M31" s="196"/>
      <c r="N31" s="196"/>
      <c r="O31" s="196"/>
      <c r="P31" s="197"/>
    </row>
    <row r="32" spans="2:16">
      <c r="B32" s="195"/>
      <c r="C32" s="196"/>
      <c r="D32" s="196"/>
      <c r="E32" s="196"/>
      <c r="F32" s="196"/>
      <c r="G32" s="196"/>
      <c r="H32" s="196"/>
      <c r="I32" s="196"/>
      <c r="J32" s="196"/>
      <c r="K32" s="196"/>
      <c r="L32" s="196"/>
      <c r="M32" s="196"/>
      <c r="N32" s="196"/>
      <c r="O32" s="196"/>
      <c r="P32" s="197"/>
    </row>
    <row r="33" spans="2:16">
      <c r="B33" s="195"/>
      <c r="C33" s="196"/>
      <c r="D33" s="196"/>
      <c r="E33" s="196"/>
      <c r="F33" s="196"/>
      <c r="G33" s="196"/>
      <c r="H33" s="196"/>
      <c r="I33" s="196"/>
      <c r="J33" s="196"/>
      <c r="K33" s="196"/>
      <c r="L33" s="196"/>
      <c r="M33" s="196"/>
      <c r="N33" s="196"/>
      <c r="O33" s="196"/>
      <c r="P33" s="197"/>
    </row>
    <row r="34" spans="2:16">
      <c r="B34" s="195"/>
      <c r="C34" s="196"/>
      <c r="D34" s="196"/>
      <c r="E34" s="196"/>
      <c r="F34" s="196"/>
      <c r="G34" s="196"/>
      <c r="H34" s="196"/>
      <c r="I34" s="196"/>
      <c r="J34" s="196"/>
      <c r="K34" s="196"/>
      <c r="L34" s="196"/>
      <c r="M34" s="196"/>
      <c r="N34" s="196"/>
      <c r="O34" s="196"/>
      <c r="P34" s="197"/>
    </row>
    <row r="35" spans="2:16" ht="17.5" thickBot="1">
      <c r="B35" s="198"/>
      <c r="C35" s="199"/>
      <c r="D35" s="199"/>
      <c r="E35" s="199"/>
      <c r="F35" s="199"/>
      <c r="G35" s="199"/>
      <c r="H35" s="199"/>
      <c r="I35" s="199"/>
      <c r="J35" s="199"/>
      <c r="K35" s="199"/>
      <c r="L35" s="199"/>
      <c r="M35" s="199"/>
      <c r="N35" s="199"/>
      <c r="O35" s="199"/>
      <c r="P35" s="200"/>
    </row>
    <row r="38" spans="2:16" hidden="1"/>
    <row r="39" spans="2:16" s="73" customFormat="1" ht="18" hidden="1" customHeight="1">
      <c r="B39" s="156" t="s">
        <v>277</v>
      </c>
      <c r="C39" s="157"/>
      <c r="D39" s="157"/>
      <c r="E39" s="156" t="s">
        <v>278</v>
      </c>
      <c r="F39" s="157"/>
    </row>
    <row r="40" spans="2:16" s="73" customFormat="1" ht="18" hidden="1" customHeight="1">
      <c r="B40" s="159" t="s">
        <v>279</v>
      </c>
      <c r="C40" s="160">
        <f>資料檢核!C7</f>
        <v>1</v>
      </c>
      <c r="D40" s="157"/>
      <c r="E40" s="159" t="s">
        <v>280</v>
      </c>
      <c r="F40" s="160">
        <f>資料檢核!C23</f>
        <v>1</v>
      </c>
    </row>
    <row r="41" spans="2:16" s="73" customFormat="1" ht="18" hidden="1" customHeight="1">
      <c r="B41" s="159" t="s">
        <v>281</v>
      </c>
      <c r="C41" s="160">
        <f>資料檢核!C15</f>
        <v>1</v>
      </c>
      <c r="D41" s="157"/>
      <c r="E41" s="159" t="s">
        <v>282</v>
      </c>
      <c r="F41" s="160">
        <f>資料檢核!C29</f>
        <v>2</v>
      </c>
    </row>
    <row r="42" spans="2:16" s="73" customFormat="1" ht="18" hidden="1" customHeight="1">
      <c r="B42" s="159" t="s">
        <v>283</v>
      </c>
      <c r="C42" s="160">
        <f ca="1">資料檢核!C17</f>
        <v>1</v>
      </c>
      <c r="D42" s="157"/>
      <c r="E42" s="157"/>
      <c r="F42" s="157"/>
    </row>
    <row r="43" spans="2:16" s="73" customFormat="1" ht="18" hidden="1" customHeight="1">
      <c r="B43" s="159" t="s">
        <v>284</v>
      </c>
      <c r="C43" s="160">
        <f>資料檢核!G8</f>
        <v>1</v>
      </c>
      <c r="D43" s="157"/>
      <c r="E43" s="159" t="s">
        <v>285</v>
      </c>
      <c r="F43" s="160">
        <f>資料檢核!G23</f>
        <v>1</v>
      </c>
    </row>
    <row r="44" spans="2:16" s="73" customFormat="1" ht="18" hidden="1" customHeight="1">
      <c r="B44" s="159" t="s">
        <v>286</v>
      </c>
      <c r="C44" s="160">
        <f>資料檢核!G10</f>
        <v>1</v>
      </c>
      <c r="D44" s="157"/>
      <c r="E44" s="159" t="s">
        <v>287</v>
      </c>
      <c r="F44" s="160">
        <f>資料檢核!G27</f>
        <v>1</v>
      </c>
    </row>
    <row r="45" spans="2:16" s="73" customFormat="1" ht="18" hidden="1" customHeight="1">
      <c r="B45" s="159" t="s">
        <v>288</v>
      </c>
      <c r="C45" s="160">
        <f>保費分齡表對應</f>
        <v>2</v>
      </c>
      <c r="D45" s="157"/>
      <c r="E45" s="157"/>
      <c r="F45" s="157"/>
    </row>
    <row r="46" spans="2:16" s="73" customFormat="1" ht="18" hidden="1" customHeight="1">
      <c r="B46" s="157"/>
      <c r="C46" s="157"/>
      <c r="D46" s="157"/>
      <c r="E46" s="159" t="s">
        <v>289</v>
      </c>
      <c r="F46" s="160">
        <f>資料檢核!K23</f>
        <v>1</v>
      </c>
    </row>
    <row r="47" spans="2:16" s="73" customFormat="1" ht="18" hidden="1" customHeight="1">
      <c r="B47" s="157"/>
      <c r="C47" s="157"/>
      <c r="D47" s="157"/>
      <c r="E47" s="159" t="s">
        <v>290</v>
      </c>
      <c r="F47" s="160">
        <f>資料檢核!K29</f>
        <v>1</v>
      </c>
    </row>
    <row r="48" spans="2:16" s="73" customFormat="1" ht="18" hidden="1" customHeight="1">
      <c r="B48" s="157"/>
      <c r="C48" s="157"/>
      <c r="D48" s="157"/>
      <c r="E48" s="157"/>
      <c r="F48" s="157"/>
    </row>
    <row r="49" spans="2:6" s="73" customFormat="1" ht="18" hidden="1" customHeight="1">
      <c r="B49" s="157"/>
      <c r="C49" s="157"/>
      <c r="D49" s="157"/>
      <c r="E49" s="159" t="s">
        <v>291</v>
      </c>
      <c r="F49" s="160">
        <f>資料檢核!C33</f>
        <v>1</v>
      </c>
    </row>
    <row r="50" spans="2:6" s="73" customFormat="1" ht="18" hidden="1" customHeight="1">
      <c r="B50" s="157"/>
      <c r="C50" s="157"/>
      <c r="D50" s="157"/>
      <c r="E50" s="159" t="s">
        <v>292</v>
      </c>
      <c r="F50" s="160">
        <f>資料檢核!C38</f>
        <v>1</v>
      </c>
    </row>
    <row r="51" spans="2:6" s="73" customFormat="1" ht="18" hidden="1" customHeight="1">
      <c r="B51" s="157"/>
      <c r="C51" s="157"/>
      <c r="D51" s="157"/>
      <c r="E51" s="157"/>
      <c r="F51" s="157"/>
    </row>
    <row r="52" spans="2:6" s="73" customFormat="1" ht="18" hidden="1" customHeight="1">
      <c r="B52" s="157"/>
      <c r="C52" s="157"/>
      <c r="D52" s="157"/>
      <c r="E52" s="159" t="s">
        <v>293</v>
      </c>
      <c r="F52" s="160">
        <f>資料檢核!G33</f>
        <v>1</v>
      </c>
    </row>
    <row r="53" spans="2:6" s="73" customFormat="1" ht="18" hidden="1" customHeight="1">
      <c r="B53" s="157"/>
      <c r="C53" s="157"/>
      <c r="D53" s="157"/>
      <c r="E53" s="159" t="s">
        <v>294</v>
      </c>
      <c r="F53" s="160">
        <f>資料檢核!G37</f>
        <v>1</v>
      </c>
    </row>
    <row r="54" spans="2:6" s="73" customFormat="1" ht="18" hidden="1" customHeight="1">
      <c r="B54" s="157"/>
      <c r="C54" s="157"/>
      <c r="D54" s="157"/>
      <c r="E54" s="157"/>
      <c r="F54" s="157"/>
    </row>
    <row r="55" spans="2:6" s="73" customFormat="1" ht="18" hidden="1" customHeight="1">
      <c r="B55" s="157"/>
      <c r="C55" s="157"/>
      <c r="D55" s="157"/>
      <c r="E55" s="159" t="s">
        <v>295</v>
      </c>
      <c r="F55" s="160">
        <f>資料檢核!K33</f>
        <v>1</v>
      </c>
    </row>
    <row r="56" spans="2:6" s="73" customFormat="1" ht="18" hidden="1" customHeight="1">
      <c r="B56" s="157"/>
      <c r="C56" s="157"/>
      <c r="D56" s="157"/>
      <c r="E56" s="159" t="s">
        <v>296</v>
      </c>
      <c r="F56" s="160">
        <f>資料檢核!K39</f>
        <v>1</v>
      </c>
    </row>
    <row r="57" spans="2:6" s="73" customFormat="1" ht="18" hidden="1" customHeight="1">
      <c r="B57" s="157"/>
      <c r="C57" s="157"/>
      <c r="D57" s="157"/>
      <c r="E57" s="157"/>
      <c r="F57" s="157"/>
    </row>
    <row r="58" spans="2:6" s="73" customFormat="1" ht="18" hidden="1" customHeight="1">
      <c r="B58" s="157"/>
      <c r="C58" s="157"/>
      <c r="D58" s="157"/>
      <c r="E58" s="159" t="s">
        <v>297</v>
      </c>
      <c r="F58" s="160">
        <f>資料檢核!C45</f>
        <v>1</v>
      </c>
    </row>
    <row r="59" spans="2:6" s="73" customFormat="1" ht="18" hidden="1" customHeight="1">
      <c r="B59" s="157"/>
      <c r="C59" s="157"/>
      <c r="D59" s="157"/>
      <c r="E59" s="159" t="s">
        <v>298</v>
      </c>
      <c r="F59" s="160">
        <f>資料檢核!C48</f>
        <v>1</v>
      </c>
    </row>
    <row r="60" spans="2:6" s="73" customFormat="1" ht="18" hidden="1" customHeight="1">
      <c r="B60" s="157"/>
      <c r="C60" s="157"/>
      <c r="D60" s="157"/>
      <c r="E60" s="157"/>
      <c r="F60" s="157"/>
    </row>
    <row r="61" spans="2:6" s="73" customFormat="1" ht="18" hidden="1" customHeight="1">
      <c r="B61" s="157"/>
      <c r="C61" s="157"/>
      <c r="D61" s="157"/>
      <c r="E61" s="159" t="s">
        <v>299</v>
      </c>
      <c r="F61" s="160">
        <f>資料檢核!G45</f>
        <v>1</v>
      </c>
    </row>
    <row r="62" spans="2:6" s="73" customFormat="1" ht="18" hidden="1" customHeight="1">
      <c r="B62" s="157"/>
      <c r="C62" s="157"/>
      <c r="D62" s="157"/>
      <c r="E62" s="159" t="s">
        <v>300</v>
      </c>
      <c r="F62" s="160">
        <f>資料檢核!G50</f>
        <v>1</v>
      </c>
    </row>
    <row r="63" spans="2:6" hidden="1">
      <c r="B63" s="158"/>
      <c r="C63" s="158"/>
      <c r="D63" s="158"/>
      <c r="E63" s="158"/>
      <c r="F63" s="158"/>
    </row>
    <row r="64" spans="2:6" hidden="1">
      <c r="E64" s="159" t="s">
        <v>320</v>
      </c>
      <c r="F64" s="160">
        <f>資料檢核!K45</f>
        <v>1</v>
      </c>
    </row>
    <row r="65" spans="5:6" hidden="1">
      <c r="E65" s="159" t="s">
        <v>321</v>
      </c>
      <c r="F65" s="160">
        <f>資料檢核!K50</f>
        <v>1</v>
      </c>
    </row>
    <row r="66" spans="5:6" hidden="1"/>
  </sheetData>
  <sheetProtection algorithmName="SHA-512" hashValue="s1Gba87tBKObjxISqPrv1vlAJXcny99ihPpiVLvyPVJLL4Ky5agpL9edVrw7fwYfRyUqJtj8CpD/Y4y4kZ+s1Q==" saltValue="wZHlU0QZI22HChygei9uqw==" spinCount="100000" sheet="1" selectLockedCells="1"/>
  <mergeCells count="83">
    <mergeCell ref="D23:G23"/>
    <mergeCell ref="D24:G24"/>
    <mergeCell ref="D13:G13"/>
    <mergeCell ref="D14:G14"/>
    <mergeCell ref="D15:G15"/>
    <mergeCell ref="D16:G16"/>
    <mergeCell ref="D18:G18"/>
    <mergeCell ref="D19:G19"/>
    <mergeCell ref="D20:G20"/>
    <mergeCell ref="D21:G21"/>
    <mergeCell ref="D22:G22"/>
    <mergeCell ref="D17:F17"/>
    <mergeCell ref="N22:O22"/>
    <mergeCell ref="N23:O23"/>
    <mergeCell ref="N24:O24"/>
    <mergeCell ref="N25:O25"/>
    <mergeCell ref="K24:L24"/>
    <mergeCell ref="K23:L23"/>
    <mergeCell ref="K25:L25"/>
    <mergeCell ref="N21:O21"/>
    <mergeCell ref="N10:O10"/>
    <mergeCell ref="N11:O11"/>
    <mergeCell ref="N12:O12"/>
    <mergeCell ref="N13:O13"/>
    <mergeCell ref="N14:O14"/>
    <mergeCell ref="N15:O15"/>
    <mergeCell ref="N16:O16"/>
    <mergeCell ref="N17:O17"/>
    <mergeCell ref="N18:O18"/>
    <mergeCell ref="N19:O19"/>
    <mergeCell ref="N20:O20"/>
    <mergeCell ref="D25:G25"/>
    <mergeCell ref="K20:L20"/>
    <mergeCell ref="K21:L21"/>
    <mergeCell ref="K22:L22"/>
    <mergeCell ref="K17:L17"/>
    <mergeCell ref="K18:L18"/>
    <mergeCell ref="K19:L19"/>
    <mergeCell ref="H17:I17"/>
    <mergeCell ref="H18:I18"/>
    <mergeCell ref="H24:I24"/>
    <mergeCell ref="H25:I25"/>
    <mergeCell ref="H19:I19"/>
    <mergeCell ref="H20:I20"/>
    <mergeCell ref="H21:I21"/>
    <mergeCell ref="H22:I22"/>
    <mergeCell ref="H23:I23"/>
    <mergeCell ref="K14:L14"/>
    <mergeCell ref="K15:L15"/>
    <mergeCell ref="K16:L16"/>
    <mergeCell ref="H14:I14"/>
    <mergeCell ref="H15:I15"/>
    <mergeCell ref="H16:I16"/>
    <mergeCell ref="D10:G10"/>
    <mergeCell ref="D11:G11"/>
    <mergeCell ref="D12:G12"/>
    <mergeCell ref="H10:I10"/>
    <mergeCell ref="H11:I11"/>
    <mergeCell ref="H12:I12"/>
    <mergeCell ref="N7:P7"/>
    <mergeCell ref="B1:P2"/>
    <mergeCell ref="B4:C4"/>
    <mergeCell ref="B29:C29"/>
    <mergeCell ref="B30:P35"/>
    <mergeCell ref="H4:I4"/>
    <mergeCell ref="K7:L7"/>
    <mergeCell ref="K9:L9"/>
    <mergeCell ref="N9:O9"/>
    <mergeCell ref="D9:G9"/>
    <mergeCell ref="H7:I7"/>
    <mergeCell ref="H9:I9"/>
    <mergeCell ref="K11:L11"/>
    <mergeCell ref="K12:L12"/>
    <mergeCell ref="K13:L13"/>
    <mergeCell ref="H13:I13"/>
    <mergeCell ref="D26:G26"/>
    <mergeCell ref="H26:I26"/>
    <mergeCell ref="K26:L26"/>
    <mergeCell ref="N26:O26"/>
    <mergeCell ref="D27:G27"/>
    <mergeCell ref="H27:I27"/>
    <mergeCell ref="K27:L27"/>
    <mergeCell ref="N27:O27"/>
  </mergeCells>
  <phoneticPr fontId="14" type="noConversion"/>
  <conditionalFormatting sqref="D6">
    <cfRule type="expression" dxfId="31" priority="18">
      <formula>$C$43&lt;&gt;1</formula>
    </cfRule>
  </conditionalFormatting>
  <conditionalFormatting sqref="D9:G9">
    <cfRule type="expression" dxfId="30" priority="5">
      <formula>$C$41&lt;&gt;1</formula>
    </cfRule>
    <cfRule type="expression" dxfId="29" priority="147">
      <formula>$C$44&lt;&gt;1</formula>
    </cfRule>
  </conditionalFormatting>
  <conditionalFormatting sqref="K11:L11">
    <cfRule type="expression" dxfId="28" priority="116">
      <formula>$F$40&lt;&gt;1</formula>
    </cfRule>
    <cfRule type="expression" dxfId="27" priority="118">
      <formula>$F$41&lt;&gt;1</formula>
    </cfRule>
  </conditionalFormatting>
  <conditionalFormatting sqref="N9:O9">
    <cfRule type="expression" dxfId="26" priority="6">
      <formula>$C$41&lt;&gt;1</formula>
    </cfRule>
    <cfRule type="expression" dxfId="25" priority="17">
      <formula>$C$40&lt;&gt;1</formula>
    </cfRule>
  </conditionalFormatting>
  <conditionalFormatting sqref="N11:O11">
    <cfRule type="expression" dxfId="24" priority="40">
      <formula>$F$40&lt;&gt;1</formula>
    </cfRule>
    <cfRule type="expression" dxfId="23" priority="41">
      <formula>$F$41&lt;&gt;1</formula>
    </cfRule>
  </conditionalFormatting>
  <conditionalFormatting sqref="N13:O13">
    <cfRule type="expression" dxfId="22" priority="137">
      <formula>$F$43&lt;&gt;1</formula>
    </cfRule>
    <cfRule type="expression" dxfId="21" priority="138">
      <formula>$C$45&gt;2</formula>
    </cfRule>
    <cfRule type="expression" dxfId="20" priority="139">
      <formula>$F$44&lt;&gt;1</formula>
    </cfRule>
  </conditionalFormatting>
  <conditionalFormatting sqref="N15:O15">
    <cfRule type="expression" dxfId="19" priority="140">
      <formula>$F$46&lt;&gt;1</formula>
    </cfRule>
    <cfRule type="expression" dxfId="18" priority="141">
      <formula>$C$45&gt;2</formula>
    </cfRule>
    <cfRule type="expression" dxfId="17" priority="142">
      <formula>$F$47&lt;&gt;1</formula>
    </cfRule>
  </conditionalFormatting>
  <conditionalFormatting sqref="N17:O17">
    <cfRule type="expression" dxfId="16" priority="123">
      <formula>$F$49&lt;&gt;1</formula>
    </cfRule>
    <cfRule type="expression" dxfId="15" priority="124">
      <formula>$F$50&lt;&gt;1</formula>
    </cfRule>
  </conditionalFormatting>
  <conditionalFormatting sqref="N23:O23">
    <cfRule type="expression" dxfId="14" priority="143">
      <formula>$F$58&lt;&gt;1</formula>
    </cfRule>
    <cfRule type="expression" dxfId="13" priority="144">
      <formula>$C$45&lt;&gt;1</formula>
    </cfRule>
    <cfRule type="expression" dxfId="12" priority="145">
      <formula>$F$59&lt;&gt;1</formula>
    </cfRule>
  </conditionalFormatting>
  <conditionalFormatting sqref="N25:O25">
    <cfRule type="expression" dxfId="11" priority="133">
      <formula>$F$61&lt;&gt;1</formula>
    </cfRule>
    <cfRule type="expression" dxfId="10" priority="134">
      <formula>$F$62&lt;&gt;1</formula>
    </cfRule>
  </conditionalFormatting>
  <conditionalFormatting sqref="N27:O27">
    <cfRule type="expression" dxfId="9" priority="3">
      <formula>$F$64&lt;&gt;1</formula>
    </cfRule>
    <cfRule type="expression" dxfId="8" priority="4">
      <formula>$F$65&lt;&gt;1</formula>
    </cfRule>
  </conditionalFormatting>
  <conditionalFormatting sqref="N19:O19">
    <cfRule type="expression" dxfId="7" priority="148">
      <formula>$F$52&lt;&gt;1</formula>
    </cfRule>
    <cfRule type="expression" dxfId="6" priority="149">
      <formula>$F$53&lt;&gt;1</formula>
    </cfRule>
    <cfRule type="expression" dxfId="5" priority="150">
      <formula>OR($N$17="",$N$17=0)</formula>
    </cfRule>
  </conditionalFormatting>
  <conditionalFormatting sqref="N21:O21">
    <cfRule type="expression" dxfId="4" priority="151">
      <formula>$F$55&lt;&gt;1</formula>
    </cfRule>
    <cfRule type="expression" dxfId="3" priority="152">
      <formula>$F$56&lt;&gt;1</formula>
    </cfRule>
    <cfRule type="expression" dxfId="2" priority="153">
      <formula>OR($N$17="",$N$17=0)</formula>
    </cfRule>
  </conditionalFormatting>
  <dataValidations count="9">
    <dataValidation type="list" allowBlank="1" showInputMessage="1" showErrorMessage="1" error="投保限額為5、10、15、20、25、30計劃" sqref="N19" xr:uid="{178377C9-CD74-EE4D-9D41-85783468BA02}">
      <formula1>"5,10,15,20,25,30"</formula1>
    </dataValidation>
    <dataValidation type="list" allowBlank="1" showInputMessage="1" showErrorMessage="1" error="年期為6、10、15、20年" sqref="K11" xr:uid="{91074EA6-5C18-0942-A59D-FFA4EE42F19A}">
      <formula1>"6,10,15,20"</formula1>
    </dataValidation>
    <dataValidation type="list" allowBlank="1" showInputMessage="1" showErrorMessage="1" sqref="K9:L9" xr:uid="{3A47BAAA-AFAE-A446-A0D3-0BCAC05F8F7D}">
      <formula1>INDIRECT(主約清單參數)</formula1>
    </dataValidation>
    <dataValidation type="list" allowBlank="1" showInputMessage="1" showErrorMessage="1" sqref="D6" xr:uid="{FF0DBA15-987A-B444-B5A7-922B348AB349}">
      <formula1>"1,2,3,4,5,6"</formula1>
    </dataValidation>
    <dataValidation type="list" allowBlank="1" showInputMessage="1" showErrorMessage="1" error="投保保額為1~30萬" sqref="N15:O15" xr:uid="{65C6016A-0993-4257-9534-FDB2C6AFB6DD}">
      <formula1>"1,2,3,4,5,6,7,8,9,10,11,12,13,14,15,16,17,18,19,20,21,22,23,24,25,26,27,28,29,30"</formula1>
    </dataValidation>
    <dataValidation type="list" allowBlank="1" showInputMessage="1" showErrorMessage="1" error="投保保額為3~30萬" sqref="N21:O21" xr:uid="{33692476-9AC4-4B6F-BDB2-4F51514D35D6}">
      <formula1>"3,4,5,6,7,8,9,10,11,12,13,14,15,16,17,18,19,20,21,22,23,24,25,26,27,28,29,30"</formula1>
    </dataValidation>
    <dataValidation type="list" allowBlank="1" showInputMessage="1" showErrorMessage="1" error="投保計劃為1~6計劃" sqref="N13:O13" xr:uid="{0F2E19E4-FFDC-41E5-90D2-8CE3D726C439}">
      <formula1>"1,2,3,4,5,6"</formula1>
    </dataValidation>
    <dataValidation type="list" allowBlank="1" showInputMessage="1" showErrorMessage="1" error="投保單位為1~3單位" sqref="N23:O23" xr:uid="{C8E5C8EE-FFCB-4689-A9C3-4FCADE45A9FE}">
      <formula1>"1,2,3"</formula1>
    </dataValidation>
    <dataValidation type="list" allowBlank="1" showInputMessage="1" showErrorMessage="1" sqref="N27:O27" xr:uid="{D5A03E21-B67D-424D-B16B-DD01099D190D}">
      <formula1>"15"</formula1>
    </dataValidation>
  </dataValidations>
  <hyperlinks>
    <hyperlink ref="R7" location="'保費分齡表(0歲-15歲)'!A1" display="保費分齡表(0歲-15歲)" xr:uid="{797BBACE-9CDA-194F-B02A-359BE1811C8C}"/>
    <hyperlink ref="R9" location="'保費分齡表(16歲-65歲)'!A1" display="保費分齡表(0歲-15歲)" xr:uid="{6B3A7970-BB3C-45FA-A9A1-0A1CF0CBE9FE}"/>
    <hyperlink ref="R13" location="'保費分齡表(66歲以上)'!A1" display="保費分齡表(66歲以上)" xr:uid="{97B920FA-F418-4904-B39E-5A67FE25289C}"/>
    <hyperlink ref="R15" location="'保費分齡表(66歲以上)'!A1" display="'保費分齡表(66歲以上)'!A1" xr:uid="{DAC65119-B8D4-4ABE-B463-658967F0BB09}"/>
  </hyperlinks>
  <pageMargins left="0.70866141732283472" right="0.70866141732283472" top="0.74803149606299213" bottom="0.74803149606299213" header="0.31496062992125984" footer="0.31496062992125984"/>
  <pageSetup paperSize="9" scale="50" orientation="portrait" r:id="rId1"/>
  <ignoredErrors>
    <ignoredError sqref="R7" unlockedFormula="1"/>
  </ignoredErrors>
  <extLst>
    <ext xmlns:x14="http://schemas.microsoft.com/office/spreadsheetml/2009/9/main" uri="{78C0D931-6437-407d-A8EE-F0AAD7539E65}">
      <x14:conditionalFormattings>
        <x14:conditionalFormatting xmlns:xm="http://schemas.microsoft.com/office/excel/2006/main">
          <x14:cfRule type="expression" priority="136" id="{E7D560AE-6B8A-4C59-A230-F5E3C7B92D5C}">
            <xm:f>資料檢核!$C$18&lt;&gt;1</xm:f>
            <x14:dxf>
              <font>
                <color rgb="FFC00000"/>
              </font>
              <fill>
                <patternFill>
                  <bgColor rgb="FFFFC7CE"/>
                </patternFill>
              </fill>
            </x14:dxf>
          </x14:cfRule>
          <xm:sqref>K9:L9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8090DF1-1DF6-4040-9CF3-456955EF8FB1}">
          <x14:formula1>
            <xm:f>OP!$A$32:$A$34</xm:f>
          </x14:formula1>
          <xm:sqref>D17:F17</xm:sqref>
        </x14:dataValidation>
        <x14:dataValidation type="list" allowBlank="1" showInputMessage="1" showErrorMessage="1" xr:uid="{7D8A4F4B-C546-4309-A7B2-8EF474D4A4AC}">
          <x14:formula1>
            <xm:f>OP!$A$7:$A$8</xm:f>
          </x14:formula1>
          <xm:sqref>D9:G9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2FBF7-4CED-4278-9CC8-EA7E8EE55F1F}">
  <sheetPr>
    <pageSetUpPr fitToPage="1"/>
  </sheetPr>
  <dimension ref="A1:Y106"/>
  <sheetViews>
    <sheetView zoomScaleNormal="100" workbookViewId="0">
      <selection activeCell="Y2" sqref="Y2"/>
    </sheetView>
  </sheetViews>
  <sheetFormatPr defaultColWidth="10.7265625" defaultRowHeight="15.5"/>
  <cols>
    <col min="1" max="2" width="4.08984375" style="83" customWidth="1"/>
    <col min="3" max="23" width="5.7265625" style="83" customWidth="1"/>
    <col min="24" max="24" width="5.6328125" style="138" customWidth="1"/>
    <col min="25" max="25" width="12" style="73" bestFit="1" customWidth="1"/>
    <col min="26" max="16384" width="10.7265625" style="138"/>
  </cols>
  <sheetData>
    <row r="1" spans="1:25" ht="25.5">
      <c r="A1" s="78" t="s">
        <v>169</v>
      </c>
      <c r="B1" s="78"/>
      <c r="C1" s="78"/>
      <c r="D1" s="79"/>
      <c r="E1" s="79"/>
      <c r="F1" s="79"/>
      <c r="G1" s="79"/>
      <c r="H1" s="79"/>
      <c r="I1" s="79"/>
      <c r="J1" s="79"/>
      <c r="K1" s="79"/>
      <c r="L1" s="79"/>
      <c r="M1" s="79"/>
      <c r="N1" s="79"/>
      <c r="O1" s="79"/>
      <c r="P1" s="79"/>
      <c r="Q1" s="79"/>
      <c r="R1" s="79"/>
      <c r="S1" s="79"/>
      <c r="T1" s="79"/>
      <c r="U1" s="79"/>
      <c r="V1" s="79"/>
      <c r="W1" s="80" t="str">
        <f ca="1">"列印日期："&amp;YEAR(TODAY())-1911&amp;"/"&amp;RIGHT("0"&amp;MONTH(TODAY()),2)&amp;"/"&amp;RIGHT("0"&amp;DAY(TODAY()),2)</f>
        <v>列印日期：113/07/29</v>
      </c>
    </row>
    <row r="2" spans="1:25" ht="18" customHeight="1">
      <c r="A2" s="79"/>
      <c r="B2" s="79"/>
      <c r="C2" s="79"/>
      <c r="D2" s="79"/>
      <c r="E2" s="79"/>
      <c r="F2" s="79"/>
      <c r="G2" s="79"/>
      <c r="H2" s="79"/>
      <c r="I2" s="79"/>
      <c r="J2" s="79"/>
      <c r="K2" s="79"/>
      <c r="L2" s="79"/>
      <c r="M2" s="79"/>
      <c r="N2" s="79"/>
      <c r="O2" s="79"/>
      <c r="P2" s="79"/>
      <c r="Q2" s="79"/>
      <c r="R2" s="79"/>
      <c r="S2" s="79"/>
      <c r="T2" s="79"/>
      <c r="U2" s="79"/>
      <c r="V2" s="79"/>
      <c r="W2" s="80" t="str">
        <f>資料輸入!P4</f>
        <v>《V7.2》</v>
      </c>
      <c r="Y2" s="137"/>
    </row>
    <row r="3" spans="1:25" ht="18" customHeight="1">
      <c r="A3" s="81"/>
      <c r="B3" s="223" t="s">
        <v>170</v>
      </c>
      <c r="C3" s="223"/>
      <c r="D3" s="223"/>
      <c r="E3" s="223"/>
      <c r="F3" s="223"/>
      <c r="G3" s="223"/>
      <c r="H3" s="223"/>
      <c r="I3" s="223"/>
      <c r="J3" s="223"/>
      <c r="K3" s="81"/>
      <c r="L3" s="223" t="s">
        <v>171</v>
      </c>
      <c r="M3" s="223"/>
      <c r="N3" s="223" t="s">
        <v>172</v>
      </c>
      <c r="O3" s="223"/>
      <c r="P3" s="223" t="s">
        <v>173</v>
      </c>
      <c r="Q3" s="223"/>
      <c r="R3" s="223"/>
      <c r="S3" s="223" t="s">
        <v>174</v>
      </c>
      <c r="T3" s="223"/>
      <c r="U3" s="223"/>
      <c r="V3" s="223" t="s">
        <v>175</v>
      </c>
      <c r="W3" s="223"/>
      <c r="Y3" s="139" t="s">
        <v>191</v>
      </c>
    </row>
    <row r="4" spans="1:25">
      <c r="A4" s="95">
        <v>1</v>
      </c>
      <c r="B4" s="95">
        <f t="shared" ref="B4:B12" si="0">IF(A4&gt;分齡表最大險種顯示數,"",A4)</f>
        <v>1</v>
      </c>
      <c r="C4" s="224" t="str">
        <f ca="1">IF(DPAA保額="",IF(總檢核,IF(B4="","",VLOOKUP(B4,保費分齡表顯示順序,2,0)),""),IF(保費分齡表對應=1,IF(總檢核,IF(B4="","",VLOOKUP(B4,保費分齡表顯示順序,2,0)),""),""))</f>
        <v>保誠人壽倍感安心終身醫療健康保險</v>
      </c>
      <c r="D4" s="224"/>
      <c r="E4" s="224"/>
      <c r="F4" s="224"/>
      <c r="G4" s="224"/>
      <c r="H4" s="224"/>
      <c r="I4" s="224"/>
      <c r="J4" s="224"/>
      <c r="K4" s="96"/>
      <c r="L4" s="225" t="str">
        <f t="shared" ref="L4:L12" ca="1" si="1">IF(DPAA保額="",IF(總檢核,IF(B4="","",VLOOKUP(B4,保費分齡表顯示順序,3,0)),""),IF(保費分齡表對應=1,IF(總檢核,IF(B4="","",VLOOKUP(B4,保費分齡表顯示順序,3,0)),""),""))</f>
        <v>AHIRLB1</v>
      </c>
      <c r="M4" s="225"/>
      <c r="N4" s="226" t="str">
        <f t="shared" ref="N4:N12" ca="1" si="2">IF(DPAA保額="",IF(總檢核,IF(B4="","",VLOOKUP(B4,保費分齡表顯示順序,4,0)&amp;"年期"),""),IF(保費分齡表對應=1,IF(總檢核,IF(B4="","",VLOOKUP(B4,保費分齡表顯示順序,4,0)&amp;"年期"),""),""))</f>
        <v>20年期</v>
      </c>
      <c r="O4" s="226"/>
      <c r="P4" s="227" t="str">
        <f t="shared" ref="P4:P12" ca="1" si="3">IF(DPAA保額="",IF(總檢核,IF(B4="","",VLOOKUP(B4,保費分齡表顯示順序,7,0)&amp;"-"&amp;VLOOKUP(B4,保費分齡表顯示順序,8,0)&amp;"歲"),""),IF(保費分齡表對應=1,IF(總檢核,IF(B4="","",VLOOKUP(B4,保費分齡表顯示順序,7,0)&amp;"-"&amp;VLOOKUP(B4,保費分齡表顯示順序,8,0)&amp;"歲"),""),""))</f>
        <v>0-60歲</v>
      </c>
      <c r="Q4" s="227"/>
      <c r="R4" s="227"/>
      <c r="S4" s="226" t="str">
        <f t="shared" ref="S4:S12" ca="1" si="4">IF(DPAA保額="",IF(總檢核,IF(B4="","",VLOOKUP(B4,保費分齡表顯示順序,5,0)),""),IF(保費分齡表對應=1,IF(總檢核,IF(B4="","",VLOOKUP(B4,保費分齡表顯示順序,5,0)),""),""))</f>
        <v>10計劃</v>
      </c>
      <c r="T4" s="226"/>
      <c r="U4" s="226"/>
      <c r="V4" s="226">
        <f ca="1">IF(DPAA保額="",IF(總檢核,IF(B4="","",資料輸入!$D$6),""),IF(保費分齡表對應=1,IF(總檢核,IF(B4="","",資料輸入!$D$6),""),""))</f>
        <v>1</v>
      </c>
      <c r="W4" s="226"/>
    </row>
    <row r="5" spans="1:25">
      <c r="A5" s="95">
        <v>2</v>
      </c>
      <c r="B5" s="95" t="str">
        <f>IF(A5&gt;分齡表最大險種顯示數,"",A5)</f>
        <v/>
      </c>
      <c r="C5" s="224" t="str">
        <f ca="1">IF(DPAA保額="",IF(總檢核,IF(B5="","",VLOOKUP(B5,保費分齡表顯示順序,2,0)),""),IF(保費分齡表對應=1,IF(總檢核,IF(B5="","",VLOOKUP(B5,保費分齡表顯示順序,2,0)),""),""))</f>
        <v/>
      </c>
      <c r="D5" s="224"/>
      <c r="E5" s="224"/>
      <c r="F5" s="224"/>
      <c r="G5" s="224"/>
      <c r="H5" s="224"/>
      <c r="I5" s="224"/>
      <c r="J5" s="224"/>
      <c r="K5" s="97"/>
      <c r="L5" s="225" t="str">
        <f t="shared" ca="1" si="1"/>
        <v/>
      </c>
      <c r="M5" s="225"/>
      <c r="N5" s="226" t="str">
        <f t="shared" ca="1" si="2"/>
        <v/>
      </c>
      <c r="O5" s="226"/>
      <c r="P5" s="227" t="str">
        <f t="shared" ca="1" si="3"/>
        <v/>
      </c>
      <c r="Q5" s="227"/>
      <c r="R5" s="227"/>
      <c r="S5" s="226" t="str">
        <f t="shared" ca="1" si="4"/>
        <v/>
      </c>
      <c r="T5" s="226"/>
      <c r="U5" s="226"/>
      <c r="V5" s="226" t="str">
        <f ca="1">IF(DPAA保額="",IF(總檢核,IF(B5="","",資料輸入!$D$6),""),IF(保費分齡表對應=1,IF(總檢核,IF(B5="","",資料輸入!$D$6),""),""))</f>
        <v/>
      </c>
      <c r="W5" s="226"/>
    </row>
    <row r="6" spans="1:25">
      <c r="A6" s="95">
        <v>3</v>
      </c>
      <c r="B6" s="95" t="str">
        <f t="shared" si="0"/>
        <v/>
      </c>
      <c r="C6" s="224" t="str">
        <f t="shared" ref="C6:C12" ca="1" si="5">IF(DPAA保額="",IF(總檢核,IF(B6="","",VLOOKUP(B6,保費分齡表顯示順序,2,0)),""),IF(保費分齡表對應=1,IF(總檢核,IF(B6="","",VLOOKUP(B6,保費分齡表顯示順序,2,0)),""),""))</f>
        <v/>
      </c>
      <c r="D6" s="224"/>
      <c r="E6" s="224"/>
      <c r="F6" s="224"/>
      <c r="G6" s="224"/>
      <c r="H6" s="224"/>
      <c r="I6" s="224"/>
      <c r="J6" s="224"/>
      <c r="K6" s="97"/>
      <c r="L6" s="225" t="str">
        <f t="shared" ca="1" si="1"/>
        <v/>
      </c>
      <c r="M6" s="225"/>
      <c r="N6" s="226" t="str">
        <f t="shared" ca="1" si="2"/>
        <v/>
      </c>
      <c r="O6" s="226"/>
      <c r="P6" s="227" t="str">
        <f t="shared" ca="1" si="3"/>
        <v/>
      </c>
      <c r="Q6" s="227"/>
      <c r="R6" s="227"/>
      <c r="S6" s="226" t="str">
        <f t="shared" ca="1" si="4"/>
        <v/>
      </c>
      <c r="T6" s="226"/>
      <c r="U6" s="226"/>
      <c r="V6" s="226" t="str">
        <f ca="1">IF(DPAA保額="",IF(總檢核,IF(B6="","",資料輸入!$D$6),""),IF(保費分齡表對應=1,IF(總檢核,IF(B6="","",資料輸入!$D$6),""),""))</f>
        <v/>
      </c>
      <c r="W6" s="226"/>
    </row>
    <row r="7" spans="1:25">
      <c r="A7" s="95">
        <v>4</v>
      </c>
      <c r="B7" s="95" t="str">
        <f t="shared" si="0"/>
        <v/>
      </c>
      <c r="C7" s="224" t="str">
        <f t="shared" ca="1" si="5"/>
        <v/>
      </c>
      <c r="D7" s="224"/>
      <c r="E7" s="224"/>
      <c r="F7" s="224"/>
      <c r="G7" s="224"/>
      <c r="H7" s="224"/>
      <c r="I7" s="224"/>
      <c r="J7" s="224"/>
      <c r="K7" s="97"/>
      <c r="L7" s="225" t="str">
        <f t="shared" ca="1" si="1"/>
        <v/>
      </c>
      <c r="M7" s="225"/>
      <c r="N7" s="226" t="str">
        <f t="shared" ca="1" si="2"/>
        <v/>
      </c>
      <c r="O7" s="226"/>
      <c r="P7" s="227" t="str">
        <f t="shared" ca="1" si="3"/>
        <v/>
      </c>
      <c r="Q7" s="227"/>
      <c r="R7" s="227"/>
      <c r="S7" s="226" t="str">
        <f t="shared" ca="1" si="4"/>
        <v/>
      </c>
      <c r="T7" s="226"/>
      <c r="U7" s="226"/>
      <c r="V7" s="226" t="str">
        <f ca="1">IF(DPAA保額="",IF(總檢核,IF(B7="","",資料輸入!$D$6),""),IF(保費分齡表對應=1,IF(總檢核,IF(B7="","",資料輸入!$D$6),""),""))</f>
        <v/>
      </c>
      <c r="W7" s="226"/>
    </row>
    <row r="8" spans="1:25">
      <c r="A8" s="95">
        <v>5</v>
      </c>
      <c r="B8" s="95" t="str">
        <f t="shared" si="0"/>
        <v/>
      </c>
      <c r="C8" s="224" t="str">
        <f t="shared" ca="1" si="5"/>
        <v/>
      </c>
      <c r="D8" s="224"/>
      <c r="E8" s="224"/>
      <c r="F8" s="224"/>
      <c r="G8" s="224"/>
      <c r="H8" s="224"/>
      <c r="I8" s="224"/>
      <c r="J8" s="224"/>
      <c r="K8" s="224"/>
      <c r="L8" s="225" t="str">
        <f t="shared" ca="1" si="1"/>
        <v/>
      </c>
      <c r="M8" s="225"/>
      <c r="N8" s="226" t="str">
        <f t="shared" ca="1" si="2"/>
        <v/>
      </c>
      <c r="O8" s="226"/>
      <c r="P8" s="227" t="str">
        <f t="shared" ca="1" si="3"/>
        <v/>
      </c>
      <c r="Q8" s="227"/>
      <c r="R8" s="227"/>
      <c r="S8" s="226" t="str">
        <f t="shared" ca="1" si="4"/>
        <v/>
      </c>
      <c r="T8" s="226"/>
      <c r="U8" s="226"/>
      <c r="V8" s="226" t="str">
        <f ca="1">IF(DPAA保額="",IF(總檢核,IF(B8="","",資料輸入!$D$6),""),IF(保費分齡表對應=1,IF(總檢核,IF(B8="","",資料輸入!$D$6),""),""))</f>
        <v/>
      </c>
      <c r="W8" s="226"/>
    </row>
    <row r="9" spans="1:25">
      <c r="A9" s="95">
        <v>6</v>
      </c>
      <c r="B9" s="95" t="str">
        <f t="shared" si="0"/>
        <v/>
      </c>
      <c r="C9" s="224" t="str">
        <f t="shared" ca="1" si="5"/>
        <v/>
      </c>
      <c r="D9" s="224"/>
      <c r="E9" s="224"/>
      <c r="F9" s="224"/>
      <c r="G9" s="224"/>
      <c r="H9" s="224"/>
      <c r="I9" s="224"/>
      <c r="J9" s="224"/>
      <c r="K9" s="97"/>
      <c r="L9" s="225" t="str">
        <f t="shared" ca="1" si="1"/>
        <v/>
      </c>
      <c r="M9" s="225"/>
      <c r="N9" s="226" t="str">
        <f t="shared" ca="1" si="2"/>
        <v/>
      </c>
      <c r="O9" s="226"/>
      <c r="P9" s="227" t="str">
        <f t="shared" ca="1" si="3"/>
        <v/>
      </c>
      <c r="Q9" s="227"/>
      <c r="R9" s="227"/>
      <c r="S9" s="226" t="str">
        <f t="shared" ca="1" si="4"/>
        <v/>
      </c>
      <c r="T9" s="226"/>
      <c r="U9" s="226"/>
      <c r="V9" s="226" t="str">
        <f ca="1">IF(DPAA保額="",IF(總檢核,IF(B9="","",資料輸入!$D$6),""),IF(保費分齡表對應=1,IF(總檢核,IF(B9="","",資料輸入!$D$6),""),""))</f>
        <v/>
      </c>
      <c r="W9" s="226"/>
    </row>
    <row r="10" spans="1:25">
      <c r="A10" s="95">
        <v>7</v>
      </c>
      <c r="B10" s="95" t="str">
        <f t="shared" si="0"/>
        <v/>
      </c>
      <c r="C10" s="224" t="str">
        <f t="shared" ca="1" si="5"/>
        <v/>
      </c>
      <c r="D10" s="224"/>
      <c r="E10" s="224"/>
      <c r="F10" s="224"/>
      <c r="G10" s="224"/>
      <c r="H10" s="224"/>
      <c r="I10" s="224"/>
      <c r="J10" s="224"/>
      <c r="K10" s="97"/>
      <c r="L10" s="225" t="str">
        <f t="shared" ca="1" si="1"/>
        <v/>
      </c>
      <c r="M10" s="225"/>
      <c r="N10" s="226" t="str">
        <f t="shared" ca="1" si="2"/>
        <v/>
      </c>
      <c r="O10" s="226"/>
      <c r="P10" s="227" t="str">
        <f t="shared" ca="1" si="3"/>
        <v/>
      </c>
      <c r="Q10" s="227"/>
      <c r="R10" s="227"/>
      <c r="S10" s="226" t="str">
        <f t="shared" ca="1" si="4"/>
        <v/>
      </c>
      <c r="T10" s="226"/>
      <c r="U10" s="226"/>
      <c r="V10" s="226" t="str">
        <f ca="1">IF(DPAA保額="",IF(總檢核,IF(B10="","",資料輸入!$D$6),""),IF(保費分齡表對應=1,IF(總檢核,IF(B10="","",資料輸入!$D$6),""),""))</f>
        <v/>
      </c>
      <c r="W10" s="226"/>
    </row>
    <row r="11" spans="1:25">
      <c r="A11" s="95">
        <v>8</v>
      </c>
      <c r="B11" s="95" t="str">
        <f t="shared" si="0"/>
        <v/>
      </c>
      <c r="C11" s="224" t="str">
        <f t="shared" ca="1" si="5"/>
        <v/>
      </c>
      <c r="D11" s="224"/>
      <c r="E11" s="224"/>
      <c r="F11" s="224"/>
      <c r="G11" s="224"/>
      <c r="H11" s="224"/>
      <c r="I11" s="224"/>
      <c r="J11" s="224"/>
      <c r="K11" s="97"/>
      <c r="L11" s="225" t="str">
        <f t="shared" ca="1" si="1"/>
        <v/>
      </c>
      <c r="M11" s="225"/>
      <c r="N11" s="226" t="str">
        <f t="shared" ca="1" si="2"/>
        <v/>
      </c>
      <c r="O11" s="226"/>
      <c r="P11" s="227" t="str">
        <f t="shared" ca="1" si="3"/>
        <v/>
      </c>
      <c r="Q11" s="227"/>
      <c r="R11" s="227"/>
      <c r="S11" s="226" t="str">
        <f t="shared" ca="1" si="4"/>
        <v/>
      </c>
      <c r="T11" s="226"/>
      <c r="U11" s="226"/>
      <c r="V11" s="226" t="str">
        <f ca="1">IF(DPAA保額="",IF(總檢核,IF(B11="","",資料輸入!$D$6),""),IF(保費分齡表對應=1,IF(總檢核,IF(B11="","",資料輸入!$D$6),""),""))</f>
        <v/>
      </c>
      <c r="W11" s="226"/>
    </row>
    <row r="12" spans="1:25" ht="16" thickBot="1">
      <c r="A12" s="98">
        <v>9</v>
      </c>
      <c r="B12" s="98" t="str">
        <f t="shared" si="0"/>
        <v/>
      </c>
      <c r="C12" s="232" t="str">
        <f t="shared" ca="1" si="5"/>
        <v/>
      </c>
      <c r="D12" s="232"/>
      <c r="E12" s="232"/>
      <c r="F12" s="232"/>
      <c r="G12" s="232"/>
      <c r="H12" s="232"/>
      <c r="I12" s="232"/>
      <c r="J12" s="232"/>
      <c r="K12" s="99"/>
      <c r="L12" s="233" t="str">
        <f t="shared" ca="1" si="1"/>
        <v/>
      </c>
      <c r="M12" s="233"/>
      <c r="N12" s="234" t="str">
        <f t="shared" ca="1" si="2"/>
        <v/>
      </c>
      <c r="O12" s="234"/>
      <c r="P12" s="235" t="str">
        <f t="shared" ca="1" si="3"/>
        <v/>
      </c>
      <c r="Q12" s="235"/>
      <c r="R12" s="235"/>
      <c r="S12" s="234" t="str">
        <f t="shared" ca="1" si="4"/>
        <v/>
      </c>
      <c r="T12" s="234"/>
      <c r="U12" s="234"/>
      <c r="V12" s="234" t="str">
        <f ca="1">IF(DPAA保額="",IF(總檢核,IF(B12="","",資料輸入!$D$6),""),IF(保費分齡表對應=1,IF(總檢核,IF(B12="","",資料輸入!$D$6),""),""))</f>
        <v/>
      </c>
      <c r="W12" s="234"/>
    </row>
    <row r="13" spans="1:25" ht="7.9" customHeight="1">
      <c r="A13" s="82"/>
      <c r="B13" s="82"/>
      <c r="C13" s="84"/>
      <c r="D13" s="84"/>
      <c r="E13" s="84"/>
      <c r="F13" s="84"/>
      <c r="G13" s="84"/>
      <c r="H13" s="84"/>
      <c r="I13" s="84"/>
      <c r="J13" s="84"/>
      <c r="K13" s="85"/>
      <c r="L13" s="85"/>
      <c r="M13" s="85"/>
      <c r="N13" s="86"/>
      <c r="O13" s="86"/>
      <c r="P13" s="86"/>
      <c r="Q13" s="87"/>
      <c r="R13" s="87"/>
      <c r="S13" s="88"/>
      <c r="T13" s="87"/>
      <c r="U13" s="87"/>
      <c r="V13" s="87"/>
      <c r="W13" s="88"/>
    </row>
    <row r="14" spans="1:25" ht="18.5" hidden="1">
      <c r="A14" s="89" t="s">
        <v>176</v>
      </c>
      <c r="B14" s="228" t="s">
        <v>177</v>
      </c>
      <c r="C14" s="228"/>
      <c r="D14" s="228"/>
      <c r="E14" s="228"/>
      <c r="F14" s="228"/>
      <c r="G14" s="228"/>
      <c r="H14" s="228"/>
      <c r="I14" s="228"/>
      <c r="J14" s="228"/>
      <c r="K14" s="228"/>
      <c r="L14" s="228"/>
      <c r="M14" s="228"/>
      <c r="N14" s="228"/>
      <c r="O14" s="228"/>
      <c r="P14" s="228"/>
      <c r="Q14" s="228"/>
      <c r="R14" s="228"/>
      <c r="S14" s="228"/>
      <c r="T14" s="228"/>
      <c r="U14" s="228"/>
      <c r="V14" s="228"/>
      <c r="W14" s="228"/>
    </row>
    <row r="15" spans="1:25" hidden="1">
      <c r="A15" s="89" t="s">
        <v>176</v>
      </c>
      <c r="B15" s="228" t="s">
        <v>178</v>
      </c>
      <c r="C15" s="228"/>
      <c r="D15" s="228"/>
      <c r="E15" s="228"/>
      <c r="F15" s="228"/>
      <c r="G15" s="228"/>
      <c r="H15" s="228"/>
      <c r="I15" s="228"/>
      <c r="J15" s="228"/>
      <c r="K15" s="228"/>
      <c r="L15" s="228"/>
      <c r="M15" s="228"/>
      <c r="N15" s="228"/>
      <c r="O15" s="228"/>
      <c r="P15" s="228"/>
      <c r="Q15" s="228"/>
      <c r="R15" s="228"/>
      <c r="S15" s="228"/>
      <c r="T15" s="228"/>
      <c r="U15" s="228"/>
      <c r="V15" s="228"/>
      <c r="W15" s="228"/>
    </row>
    <row r="16" spans="1:25" ht="17.149999999999999" customHeight="1">
      <c r="A16" s="89" t="s">
        <v>176</v>
      </c>
      <c r="B16" s="229" t="s">
        <v>179</v>
      </c>
      <c r="C16" s="229"/>
      <c r="D16" s="229"/>
      <c r="E16" s="229"/>
      <c r="F16" s="229"/>
      <c r="G16" s="229"/>
      <c r="H16" s="229"/>
      <c r="I16" s="229"/>
      <c r="J16" s="229"/>
      <c r="K16" s="229"/>
      <c r="L16" s="229"/>
      <c r="M16" s="229"/>
      <c r="N16" s="229"/>
      <c r="O16" s="229"/>
      <c r="P16" s="229"/>
      <c r="Q16" s="229"/>
      <c r="R16" s="229"/>
      <c r="S16" s="229"/>
      <c r="T16" s="229"/>
      <c r="U16" s="229"/>
      <c r="V16" s="229"/>
      <c r="W16" s="229"/>
    </row>
    <row r="17" spans="1:23" ht="17.149999999999999" customHeight="1">
      <c r="A17" s="89" t="s">
        <v>176</v>
      </c>
      <c r="B17" s="229" t="s">
        <v>180</v>
      </c>
      <c r="C17" s="229"/>
      <c r="D17" s="229"/>
      <c r="E17" s="229"/>
      <c r="F17" s="229"/>
      <c r="G17" s="229"/>
      <c r="H17" s="229"/>
      <c r="I17" s="229"/>
      <c r="J17" s="229"/>
      <c r="K17" s="229"/>
      <c r="L17" s="229"/>
      <c r="M17" s="229"/>
      <c r="N17" s="229"/>
      <c r="O17" s="229"/>
      <c r="P17" s="229"/>
      <c r="Q17" s="229"/>
      <c r="R17" s="229"/>
      <c r="S17" s="229"/>
      <c r="T17" s="229"/>
      <c r="U17" s="229"/>
      <c r="V17" s="229"/>
      <c r="W17" s="229"/>
    </row>
    <row r="18" spans="1:23" ht="34" customHeight="1">
      <c r="A18" s="89" t="s">
        <v>176</v>
      </c>
      <c r="B18" s="230" t="s">
        <v>268</v>
      </c>
      <c r="C18" s="231"/>
      <c r="D18" s="231"/>
      <c r="E18" s="231"/>
      <c r="F18" s="231"/>
      <c r="G18" s="231"/>
      <c r="H18" s="231"/>
      <c r="I18" s="231"/>
      <c r="J18" s="231"/>
      <c r="K18" s="231"/>
      <c r="L18" s="231"/>
      <c r="M18" s="231"/>
      <c r="N18" s="231"/>
      <c r="O18" s="231"/>
      <c r="P18" s="231"/>
      <c r="Q18" s="231"/>
      <c r="R18" s="231"/>
      <c r="S18" s="231"/>
      <c r="T18" s="231"/>
      <c r="U18" s="231"/>
      <c r="V18" s="231"/>
      <c r="W18" s="231"/>
    </row>
    <row r="19" spans="1:23" ht="31.9" hidden="1" customHeight="1">
      <c r="A19" s="89" t="s">
        <v>176</v>
      </c>
      <c r="B19" s="231" t="s">
        <v>181</v>
      </c>
      <c r="C19" s="231"/>
      <c r="D19" s="231"/>
      <c r="E19" s="231"/>
      <c r="F19" s="231"/>
      <c r="G19" s="231"/>
      <c r="H19" s="231"/>
      <c r="I19" s="231"/>
      <c r="J19" s="231"/>
      <c r="K19" s="231"/>
      <c r="L19" s="231"/>
      <c r="M19" s="231"/>
      <c r="N19" s="231"/>
      <c r="O19" s="231"/>
      <c r="P19" s="231"/>
      <c r="Q19" s="231"/>
      <c r="R19" s="231"/>
      <c r="S19" s="231"/>
      <c r="T19" s="231"/>
      <c r="U19" s="231"/>
      <c r="V19" s="231"/>
      <c r="W19" s="231"/>
    </row>
    <row r="20" spans="1:23" ht="18" customHeight="1">
      <c r="A20" s="236"/>
      <c r="B20" s="236"/>
      <c r="C20" s="236"/>
      <c r="D20" s="236"/>
      <c r="E20" s="236"/>
      <c r="F20" s="236"/>
      <c r="G20" s="236"/>
      <c r="H20" s="236"/>
      <c r="I20" s="236"/>
      <c r="J20" s="236"/>
      <c r="K20" s="236"/>
      <c r="L20" s="236"/>
      <c r="M20" s="236"/>
      <c r="N20" s="236"/>
      <c r="O20" s="236"/>
      <c r="P20" s="236"/>
      <c r="Q20" s="236"/>
      <c r="R20" s="236"/>
      <c r="S20" s="236"/>
      <c r="T20" s="236"/>
      <c r="U20" s="236"/>
      <c r="V20" s="90"/>
      <c r="W20" s="90" t="s">
        <v>182</v>
      </c>
    </row>
    <row r="21" spans="1:23" ht="18" customHeight="1">
      <c r="A21" s="94"/>
      <c r="B21" s="94"/>
      <c r="C21" s="94"/>
      <c r="D21" s="237" t="s">
        <v>183</v>
      </c>
      <c r="E21" s="237"/>
      <c r="F21" s="237"/>
      <c r="G21" s="237"/>
      <c r="H21" s="237"/>
      <c r="I21" s="237"/>
      <c r="J21" s="237"/>
      <c r="K21" s="237"/>
      <c r="L21" s="237"/>
      <c r="M21" s="238"/>
      <c r="N21" s="237" t="s">
        <v>184</v>
      </c>
      <c r="O21" s="237"/>
      <c r="P21" s="237"/>
      <c r="Q21" s="237"/>
      <c r="R21" s="237"/>
      <c r="S21" s="237"/>
      <c r="T21" s="237"/>
      <c r="U21" s="237"/>
      <c r="V21" s="237"/>
      <c r="W21" s="237"/>
    </row>
    <row r="22" spans="1:23" ht="18" customHeight="1">
      <c r="A22" s="239" t="s">
        <v>185</v>
      </c>
      <c r="B22" s="239"/>
      <c r="C22" s="239"/>
      <c r="D22" s="239" t="s">
        <v>186</v>
      </c>
      <c r="E22" s="239"/>
      <c r="F22" s="239"/>
      <c r="G22" s="239" t="s">
        <v>187</v>
      </c>
      <c r="H22" s="239"/>
      <c r="I22" s="239"/>
      <c r="J22" s="239" t="s">
        <v>188</v>
      </c>
      <c r="K22" s="239"/>
      <c r="L22" s="239"/>
      <c r="M22" s="240"/>
      <c r="N22" s="239" t="s">
        <v>186</v>
      </c>
      <c r="O22" s="239"/>
      <c r="P22" s="239"/>
      <c r="Q22" s="239" t="s">
        <v>187</v>
      </c>
      <c r="R22" s="239"/>
      <c r="S22" s="239"/>
      <c r="T22" s="239" t="s">
        <v>188</v>
      </c>
      <c r="U22" s="239"/>
      <c r="V22" s="239"/>
      <c r="W22" s="239"/>
    </row>
    <row r="23" spans="1:23">
      <c r="A23" s="227">
        <f ca="1">IF(DPAA保額="",IF(總檢核,'試算表 (0-15歲)'!A4,""),IF(保費分齡表對應=1,IF(總檢核,'試算表 (0-15歲)'!A4,""),""))</f>
        <v>0</v>
      </c>
      <c r="B23" s="227"/>
      <c r="C23" s="227"/>
      <c r="D23" s="243">
        <f ca="1">IF(DPAA保額="",IF(總檢核,IF(A22=分齡表最大顯示年齡,"***以下空白***",IF(A23&lt;=分齡表最大顯示年齡,'試算表 (0-15歲)'!B4,"")),""),IF(保費分齡表對應=1,IF(總檢核,IF(A22=分齡表最大顯示年齡,"***以下空白***",IF(A23&lt;=分齡表最大顯示年齡,'試算表 (0-15歲)'!B4,"")),""),""))</f>
        <v>14250</v>
      </c>
      <c r="E23" s="243"/>
      <c r="F23" s="243"/>
      <c r="G23" s="241">
        <f ca="1">IF(DPAA保額="",IF(總檢核,IF(A23="","",SUM('試算表 (0-15歲)'!C4:N4)),""),IF(保費分齡表對應=1,IF(總檢核,IF(A23="","",SUM('試算表 (0-15歲)'!C4:N4)),""),""))</f>
        <v>0</v>
      </c>
      <c r="H23" s="241"/>
      <c r="I23" s="241"/>
      <c r="J23" s="241">
        <f t="shared" ref="J23:J54" ca="1" si="6">IF(DPAA保額="",IF(總檢核,IF(A23="","",D23+G23),""),IF(保費分齡表對應=1,IF(總檢核,IF(A23="","",D23+G23),""),""))</f>
        <v>14250</v>
      </c>
      <c r="K23" s="242"/>
      <c r="L23" s="242"/>
      <c r="M23" s="242"/>
      <c r="N23" s="243">
        <f ca="1">IF(DPAA保額="",IF(總檢核,IF(A23="","",'試算表 (0-15歲)'!O4),""),IF(保費分齡表對應=1,IF(總檢核,IF(A23="","",'試算表 (0-15歲)'!O4),""),""))</f>
        <v>14210</v>
      </c>
      <c r="O23" s="243"/>
      <c r="P23" s="243"/>
      <c r="Q23" s="243">
        <f ca="1">IF(DPAA保額="",IF(總檢核,IF(A23="","",SUM('試算表 (0-15歲)'!P4:AA4)),""),IF(保費分齡表對應=1,IF(總檢核,IF(A23="","",SUM('試算表 (0-15歲)'!P4:AA4)),""),""))</f>
        <v>0</v>
      </c>
      <c r="R23" s="243"/>
      <c r="S23" s="243"/>
      <c r="T23" s="241">
        <f t="shared" ref="T23:T54" ca="1" si="7">IF(DPAA保額="",IF(總檢核,IF(A23="","",N23+Q23),""),IF(保費分齡表對應=1,IF(總檢核,IF(A23="","",N23+Q23),""),""))</f>
        <v>14210</v>
      </c>
      <c r="U23" s="242"/>
      <c r="V23" s="242"/>
      <c r="W23" s="242"/>
    </row>
    <row r="24" spans="1:23">
      <c r="A24" s="227">
        <f ca="1">IF(DPAA保額="",IF(總檢核,'試算表 (0-15歲)'!A5,""),IF(保費分齡表對應=1,IF(總檢核,'試算表 (0-15歲)'!A5,""),""))</f>
        <v>1</v>
      </c>
      <c r="B24" s="227"/>
      <c r="C24" s="227"/>
      <c r="D24" s="243">
        <f ca="1">IF(DPAA保額="",IF(總檢核,IF(A23=分齡表最大顯示年齡,"***以下空白***",IF(A24&lt;=分齡表最大顯示年齡,'試算表 (0-15歲)'!B5,"")),""),IF(保費分齡表對應=1,IF(總檢核,IF(A23=分齡表最大顯示年齡,"***以下空白***",IF(A24&lt;=分齡表最大顯示年齡,'試算表 (0-15歲)'!B5,"")),""),""))</f>
        <v>14250</v>
      </c>
      <c r="E24" s="243"/>
      <c r="F24" s="243"/>
      <c r="G24" s="241">
        <f ca="1">IF(DPAA保額="",IF(總檢核,IF(A24="","",SUM('試算表 (0-15歲)'!C5:N5)),""),IF(保費分齡表對應=1,IF(總檢核,IF(A24="","",SUM('試算表 (0-15歲)'!C5:N5)),""),""))</f>
        <v>0</v>
      </c>
      <c r="H24" s="241"/>
      <c r="I24" s="241"/>
      <c r="J24" s="241">
        <f t="shared" ca="1" si="6"/>
        <v>14250</v>
      </c>
      <c r="K24" s="242"/>
      <c r="L24" s="242"/>
      <c r="M24" s="242"/>
      <c r="N24" s="243">
        <f ca="1">IF(DPAA保額="",IF(總檢核,IF(A24="","",'試算表 (0-15歲)'!O5),""),IF(保費分齡表對應=1,IF(總檢核,IF(A24="","",'試算表 (0-15歲)'!O5),""),""))</f>
        <v>14210</v>
      </c>
      <c r="O24" s="243"/>
      <c r="P24" s="243"/>
      <c r="Q24" s="243">
        <f ca="1">IF(DPAA保額="",IF(總檢核,IF(A24="","",SUM('試算表 (0-15歲)'!P5:AA5)),""),IF(保費分齡表對應=1,IF(總檢核,IF(A24="","",SUM('試算表 (0-15歲)'!P5:AA5)),""),""))</f>
        <v>0</v>
      </c>
      <c r="R24" s="243"/>
      <c r="S24" s="243"/>
      <c r="T24" s="241">
        <f t="shared" ca="1" si="7"/>
        <v>14210</v>
      </c>
      <c r="U24" s="241"/>
      <c r="V24" s="241"/>
      <c r="W24" s="241"/>
    </row>
    <row r="25" spans="1:23">
      <c r="A25" s="227">
        <f ca="1">IF(DPAA保額="",IF(總檢核,'試算表 (0-15歲)'!A6,""),IF(保費分齡表對應=1,IF(總檢核,'試算表 (0-15歲)'!A6,""),""))</f>
        <v>2</v>
      </c>
      <c r="B25" s="227"/>
      <c r="C25" s="227"/>
      <c r="D25" s="243">
        <f ca="1">IF(DPAA保額="",IF(總檢核,IF(A24=分齡表最大顯示年齡,"***以下空白***",IF(A25&lt;=分齡表最大顯示年齡,'試算表 (0-15歲)'!B6,"")),""),IF(保費分齡表對應=1,IF(總檢核,IF(A24=分齡表最大顯示年齡,"***以下空白***",IF(A25&lt;=分齡表最大顯示年齡,'試算表 (0-15歲)'!B6,"")),""),""))</f>
        <v>14250</v>
      </c>
      <c r="E25" s="243"/>
      <c r="F25" s="243"/>
      <c r="G25" s="241">
        <f ca="1">IF(DPAA保額="",IF(總檢核,IF(A25="","",SUM('試算表 (0-15歲)'!C6:N6)),""),IF(保費分齡表對應=1,IF(總檢核,IF(A25="","",SUM('試算表 (0-15歲)'!C6:N6)),""),""))</f>
        <v>0</v>
      </c>
      <c r="H25" s="241"/>
      <c r="I25" s="241"/>
      <c r="J25" s="241">
        <f t="shared" ca="1" si="6"/>
        <v>14250</v>
      </c>
      <c r="K25" s="241"/>
      <c r="L25" s="241"/>
      <c r="M25" s="241"/>
      <c r="N25" s="243">
        <f ca="1">IF(DPAA保額="",IF(總檢核,IF(A25="","",'試算表 (0-15歲)'!O6),""),IF(保費分齡表對應=1,IF(總檢核,IF(A25="","",'試算表 (0-15歲)'!O6),""),""))</f>
        <v>14210</v>
      </c>
      <c r="O25" s="243"/>
      <c r="P25" s="243"/>
      <c r="Q25" s="243">
        <f ca="1">IF(DPAA保額="",IF(總檢核,IF(A25="","",SUM('試算表 (0-15歲)'!P6:AA6)),""),IF(保費分齡表對應=1,IF(總檢核,IF(A25="","",SUM('試算表 (0-15歲)'!P6:AA6)),""),""))</f>
        <v>0</v>
      </c>
      <c r="R25" s="243"/>
      <c r="S25" s="243"/>
      <c r="T25" s="241">
        <f t="shared" ca="1" si="7"/>
        <v>14210</v>
      </c>
      <c r="U25" s="241"/>
      <c r="V25" s="241"/>
      <c r="W25" s="241"/>
    </row>
    <row r="26" spans="1:23">
      <c r="A26" s="227">
        <f ca="1">IF(DPAA保額="",IF(總檢核,'試算表 (0-15歲)'!A7,""),IF(保費分齡表對應=1,IF(總檢核,'試算表 (0-15歲)'!A7,""),""))</f>
        <v>3</v>
      </c>
      <c r="B26" s="227"/>
      <c r="C26" s="227"/>
      <c r="D26" s="243">
        <f ca="1">IF(DPAA保額="",IF(總檢核,IF(A25=分齡表最大顯示年齡,"***以下空白***",IF(A26&lt;=分齡表最大顯示年齡,'試算表 (0-15歲)'!B7,"")),""),IF(保費分齡表對應=1,IF(總檢核,IF(A25=分齡表最大顯示年齡,"***以下空白***",IF(A26&lt;=分齡表最大顯示年齡,'試算表 (0-15歲)'!B7,"")),""),""))</f>
        <v>14250</v>
      </c>
      <c r="E26" s="243"/>
      <c r="F26" s="243"/>
      <c r="G26" s="241">
        <f ca="1">IF(DPAA保額="",IF(總檢核,IF(A26="","",SUM('試算表 (0-15歲)'!C7:N7)),""),IF(保費分齡表對應=1,IF(總檢核,IF(A26="","",SUM('試算表 (0-15歲)'!C7:N7)),""),""))</f>
        <v>0</v>
      </c>
      <c r="H26" s="241"/>
      <c r="I26" s="241"/>
      <c r="J26" s="241">
        <f t="shared" ca="1" si="6"/>
        <v>14250</v>
      </c>
      <c r="K26" s="241"/>
      <c r="L26" s="241"/>
      <c r="M26" s="241"/>
      <c r="N26" s="243">
        <f ca="1">IF(DPAA保額="",IF(總檢核,IF(A26="","",'試算表 (0-15歲)'!O7),""),IF(保費分齡表對應=1,IF(總檢核,IF(A26="","",'試算表 (0-15歲)'!O7),""),""))</f>
        <v>14210</v>
      </c>
      <c r="O26" s="243"/>
      <c r="P26" s="243"/>
      <c r="Q26" s="243">
        <f ca="1">IF(DPAA保額="",IF(總檢核,IF(A26="","",SUM('試算表 (0-15歲)'!P7:AA7)),""),IF(保費分齡表對應=1,IF(總檢核,IF(A26="","",SUM('試算表 (0-15歲)'!P7:AA7)),""),""))</f>
        <v>0</v>
      </c>
      <c r="R26" s="243"/>
      <c r="S26" s="243"/>
      <c r="T26" s="241">
        <f t="shared" ca="1" si="7"/>
        <v>14210</v>
      </c>
      <c r="U26" s="241"/>
      <c r="V26" s="241"/>
      <c r="W26" s="241"/>
    </row>
    <row r="27" spans="1:23">
      <c r="A27" s="227">
        <f ca="1">IF(DPAA保額="",IF(總檢核,'試算表 (0-15歲)'!A8,""),IF(保費分齡表對應=1,IF(總檢核,'試算表 (0-15歲)'!A8,""),""))</f>
        <v>4</v>
      </c>
      <c r="B27" s="227"/>
      <c r="C27" s="227"/>
      <c r="D27" s="243">
        <f ca="1">IF(DPAA保額="",IF(總檢核,IF(A26=分齡表最大顯示年齡,"***以下空白***",IF(A27&lt;=分齡表最大顯示年齡,'試算表 (0-15歲)'!B8,"")),""),IF(保費分齡表對應=1,IF(總檢核,IF(A26=分齡表最大顯示年齡,"***以下空白***",IF(A27&lt;=分齡表最大顯示年齡,'試算表 (0-15歲)'!B8,"")),""),""))</f>
        <v>14250</v>
      </c>
      <c r="E27" s="243"/>
      <c r="F27" s="243"/>
      <c r="G27" s="241">
        <f ca="1">IF(DPAA保額="",IF(總檢核,IF(A27="","",SUM('試算表 (0-15歲)'!C8:N8)),""),IF(保費分齡表對應=1,IF(總檢核,IF(A27="","",SUM('試算表 (0-15歲)'!C8:N8)),""),""))</f>
        <v>0</v>
      </c>
      <c r="H27" s="241"/>
      <c r="I27" s="241"/>
      <c r="J27" s="241">
        <f t="shared" ca="1" si="6"/>
        <v>14250</v>
      </c>
      <c r="K27" s="241"/>
      <c r="L27" s="241"/>
      <c r="M27" s="241"/>
      <c r="N27" s="243">
        <f ca="1">IF(DPAA保額="",IF(總檢核,IF(A27="","",'試算表 (0-15歲)'!O8),""),IF(保費分齡表對應=1,IF(總檢核,IF(A27="","",'試算表 (0-15歲)'!O8),""),""))</f>
        <v>14210</v>
      </c>
      <c r="O27" s="243"/>
      <c r="P27" s="243"/>
      <c r="Q27" s="243">
        <f ca="1">IF(DPAA保額="",IF(總檢核,IF(A27="","",SUM('試算表 (0-15歲)'!P8:AA8)),""),IF(保費分齡表對應=1,IF(總檢核,IF(A27="","",SUM('試算表 (0-15歲)'!P8:AA8)),""),""))</f>
        <v>0</v>
      </c>
      <c r="R27" s="243"/>
      <c r="S27" s="243"/>
      <c r="T27" s="241">
        <f t="shared" ca="1" si="7"/>
        <v>14210</v>
      </c>
      <c r="U27" s="241"/>
      <c r="V27" s="241"/>
      <c r="W27" s="241"/>
    </row>
    <row r="28" spans="1:23">
      <c r="A28" s="244">
        <f ca="1">IF(DPAA保額="",IF(總檢核,'試算表 (0-15歲)'!A9,""),IF(保費分齡表對應=1,IF(總檢核,'試算表 (0-15歲)'!A9,""),""))</f>
        <v>5</v>
      </c>
      <c r="B28" s="244"/>
      <c r="C28" s="244"/>
      <c r="D28" s="245">
        <f ca="1">IF(DPAA保額="",IF(總檢核,IF(A27=分齡表最大顯示年齡,"***以下空白***",IF(A28&lt;=分齡表最大顯示年齡,'試算表 (0-15歲)'!B9,"")),""),IF(保費分齡表對應=1,IF(總檢核,IF(A27=分齡表最大顯示年齡,"***以下空白***",IF(A28&lt;=分齡表最大顯示年齡,'試算表 (0-15歲)'!B9,"")),""),""))</f>
        <v>14250</v>
      </c>
      <c r="E28" s="245"/>
      <c r="F28" s="245"/>
      <c r="G28" s="246">
        <f ca="1">IF(DPAA保額="",IF(總檢核,IF(A28="","",SUM('試算表 (0-15歲)'!C9:N9)),""),IF(保費分齡表對應=1,IF(總檢核,IF(A28="","",SUM('試算表 (0-15歲)'!C9:N9)),""),""))</f>
        <v>0</v>
      </c>
      <c r="H28" s="246"/>
      <c r="I28" s="246"/>
      <c r="J28" s="246">
        <f t="shared" ca="1" si="6"/>
        <v>14250</v>
      </c>
      <c r="K28" s="246"/>
      <c r="L28" s="246"/>
      <c r="M28" s="246"/>
      <c r="N28" s="245">
        <f ca="1">IF(DPAA保額="",IF(總檢核,IF(A28="","",'試算表 (0-15歲)'!O9),""),IF(保費分齡表對應=1,IF(總檢核,IF(A28="","",'試算表 (0-15歲)'!O9),""),""))</f>
        <v>14210</v>
      </c>
      <c r="O28" s="245"/>
      <c r="P28" s="245"/>
      <c r="Q28" s="245">
        <f ca="1">IF(DPAA保額="",IF(總檢核,IF(A28="","",SUM('試算表 (0-15歲)'!P9:AA9)),""),IF(保費分齡表對應=1,IF(總檢核,IF(A28="","",SUM('試算表 (0-15歲)'!P9:AA9)),""),""))</f>
        <v>0</v>
      </c>
      <c r="R28" s="245"/>
      <c r="S28" s="245"/>
      <c r="T28" s="246">
        <f t="shared" ca="1" si="7"/>
        <v>14210</v>
      </c>
      <c r="U28" s="246"/>
      <c r="V28" s="246"/>
      <c r="W28" s="246"/>
    </row>
    <row r="29" spans="1:23">
      <c r="A29" s="227">
        <f ca="1">IF(DPAA保額="",IF(總檢核,'試算表 (0-15歲)'!A10,""),IF(保費分齡表對應=1,IF(總檢核,'試算表 (0-15歲)'!A10,""),""))</f>
        <v>6</v>
      </c>
      <c r="B29" s="227"/>
      <c r="C29" s="227"/>
      <c r="D29" s="243">
        <f ca="1">IF(DPAA保額="",IF(總檢核,IF(A28=分齡表最大顯示年齡,"***以下空白***",IF(A29&lt;=分齡表最大顯示年齡,'試算表 (0-15歲)'!B10,"")),""),IF(保費分齡表對應=1,IF(總檢核,IF(A28=分齡表最大顯示年齡,"***以下空白***",IF(A29&lt;=分齡表最大顯示年齡,'試算表 (0-15歲)'!B10,"")),""),""))</f>
        <v>14260</v>
      </c>
      <c r="E29" s="243"/>
      <c r="F29" s="243"/>
      <c r="G29" s="241">
        <f ca="1">IF(DPAA保額="",IF(總檢核,IF(A29="","",SUM('試算表 (0-15歲)'!C10:N10)),""),IF(保費分齡表對應=1,IF(總檢核,IF(A29="","",SUM('試算表 (0-15歲)'!C10:N10)),""),""))</f>
        <v>0</v>
      </c>
      <c r="H29" s="241"/>
      <c r="I29" s="241"/>
      <c r="J29" s="241">
        <f t="shared" ca="1" si="6"/>
        <v>14260</v>
      </c>
      <c r="K29" s="241"/>
      <c r="L29" s="241"/>
      <c r="M29" s="241"/>
      <c r="N29" s="243">
        <f ca="1">IF(DPAA保額="",IF(總檢核,IF(A29="","",'試算表 (0-15歲)'!O10),""),IF(保費分齡表對應=1,IF(總檢核,IF(A29="","",'試算表 (0-15歲)'!O10),""),""))</f>
        <v>14220</v>
      </c>
      <c r="O29" s="243"/>
      <c r="P29" s="243"/>
      <c r="Q29" s="243">
        <f ca="1">IF(DPAA保額="",IF(總檢核,IF(A29="","",SUM('試算表 (0-15歲)'!P10:AA10)),""),IF(保費分齡表對應=1,IF(總檢核,IF(A29="","",SUM('試算表 (0-15歲)'!P10:AA10)),""),""))</f>
        <v>0</v>
      </c>
      <c r="R29" s="243"/>
      <c r="S29" s="243"/>
      <c r="T29" s="241">
        <f t="shared" ca="1" si="7"/>
        <v>14220</v>
      </c>
      <c r="U29" s="241"/>
      <c r="V29" s="241"/>
      <c r="W29" s="241"/>
    </row>
    <row r="30" spans="1:23">
      <c r="A30" s="227">
        <f ca="1">IF(DPAA保額="",IF(總檢核,'試算表 (0-15歲)'!A11,""),IF(保費分齡表對應=1,IF(總檢核,'試算表 (0-15歲)'!A11,""),""))</f>
        <v>7</v>
      </c>
      <c r="B30" s="227"/>
      <c r="C30" s="227"/>
      <c r="D30" s="243">
        <f ca="1">IF(DPAA保額="",IF(總檢核,IF(A29=分齡表最大顯示年齡,"***以下空白***",IF(A30&lt;=分齡表最大顯示年齡,'試算表 (0-15歲)'!B11,"")),""),IF(保費分齡表對應=1,IF(總檢核,IF(A29=分齡表最大顯示年齡,"***以下空白***",IF(A30&lt;=分齡表最大顯示年齡,'試算表 (0-15歲)'!B11,"")),""),""))</f>
        <v>14270</v>
      </c>
      <c r="E30" s="243"/>
      <c r="F30" s="243"/>
      <c r="G30" s="241">
        <f ca="1">IF(DPAA保額="",IF(總檢核,IF(A30="","",SUM('試算表 (0-15歲)'!C11:N11)),""),IF(保費分齡表對應=1,IF(總檢核,IF(A30="","",SUM('試算表 (0-15歲)'!C11:N11)),""),""))</f>
        <v>0</v>
      </c>
      <c r="H30" s="241"/>
      <c r="I30" s="241"/>
      <c r="J30" s="241">
        <f t="shared" ca="1" si="6"/>
        <v>14270</v>
      </c>
      <c r="K30" s="241"/>
      <c r="L30" s="241"/>
      <c r="M30" s="241"/>
      <c r="N30" s="243">
        <f ca="1">IF(DPAA保額="",IF(總檢核,IF(A30="","",'試算表 (0-15歲)'!O11),""),IF(保費分齡表對應=1,IF(總檢核,IF(A30="","",'試算表 (0-15歲)'!O11),""),""))</f>
        <v>14230</v>
      </c>
      <c r="O30" s="243"/>
      <c r="P30" s="243"/>
      <c r="Q30" s="243">
        <f ca="1">IF(DPAA保額="",IF(總檢核,IF(A30="","",SUM('試算表 (0-15歲)'!P11:AA11)),""),IF(保費分齡表對應=1,IF(總檢核,IF(A30="","",SUM('試算表 (0-15歲)'!P11:AA11)),""),""))</f>
        <v>0</v>
      </c>
      <c r="R30" s="243"/>
      <c r="S30" s="243"/>
      <c r="T30" s="241">
        <f t="shared" ca="1" si="7"/>
        <v>14230</v>
      </c>
      <c r="U30" s="241"/>
      <c r="V30" s="241"/>
      <c r="W30" s="241"/>
    </row>
    <row r="31" spans="1:23">
      <c r="A31" s="227">
        <f ca="1">IF(DPAA保額="",IF(總檢核,'試算表 (0-15歲)'!A12,""),IF(保費分齡表對應=1,IF(總檢核,'試算表 (0-15歲)'!A12,""),""))</f>
        <v>8</v>
      </c>
      <c r="B31" s="227"/>
      <c r="C31" s="227"/>
      <c r="D31" s="243">
        <f ca="1">IF(DPAA保額="",IF(總檢核,IF(A30=分齡表最大顯示年齡,"***以下空白***",IF(A31&lt;=分齡表最大顯示年齡,'試算表 (0-15歲)'!B12,"")),""),IF(保費分齡表對應=1,IF(總檢核,IF(A30=分齡表最大顯示年齡,"***以下空白***",IF(A31&lt;=分齡表最大顯示年齡,'試算表 (0-15歲)'!B12,"")),""),""))</f>
        <v>14280</v>
      </c>
      <c r="E31" s="243"/>
      <c r="F31" s="243"/>
      <c r="G31" s="241">
        <f ca="1">IF(DPAA保額="",IF(總檢核,IF(A31="","",SUM('試算表 (0-15歲)'!C12:N12)),""),IF(保費分齡表對應=1,IF(總檢核,IF(A31="","",SUM('試算表 (0-15歲)'!C12:N12)),""),""))</f>
        <v>0</v>
      </c>
      <c r="H31" s="241"/>
      <c r="I31" s="241"/>
      <c r="J31" s="241">
        <f t="shared" ca="1" si="6"/>
        <v>14280</v>
      </c>
      <c r="K31" s="241"/>
      <c r="L31" s="241"/>
      <c r="M31" s="241"/>
      <c r="N31" s="243">
        <f ca="1">IF(DPAA保額="",IF(總檢核,IF(A31="","",'試算表 (0-15歲)'!O12),""),IF(保費分齡表對應=1,IF(總檢核,IF(A31="","",'試算表 (0-15歲)'!O12),""),""))</f>
        <v>14240</v>
      </c>
      <c r="O31" s="243"/>
      <c r="P31" s="243"/>
      <c r="Q31" s="243">
        <f ca="1">IF(DPAA保額="",IF(總檢核,IF(A31="","",SUM('試算表 (0-15歲)'!P12:AA12)),""),IF(保費分齡表對應=1,IF(總檢核,IF(A31="","",SUM('試算表 (0-15歲)'!P12:AA12)),""),""))</f>
        <v>0</v>
      </c>
      <c r="R31" s="243"/>
      <c r="S31" s="243"/>
      <c r="T31" s="241">
        <f t="shared" ca="1" si="7"/>
        <v>14240</v>
      </c>
      <c r="U31" s="241"/>
      <c r="V31" s="241"/>
      <c r="W31" s="241"/>
    </row>
    <row r="32" spans="1:23">
      <c r="A32" s="227">
        <f ca="1">IF(DPAA保額="",IF(總檢核,'試算表 (0-15歲)'!A13,""),IF(保費分齡表對應=1,IF(總檢核,'試算表 (0-15歲)'!A13,""),""))</f>
        <v>9</v>
      </c>
      <c r="B32" s="227"/>
      <c r="C32" s="227"/>
      <c r="D32" s="243">
        <f ca="1">IF(DPAA保額="",IF(總檢核,IF(A31=分齡表最大顯示年齡,"***以下空白***",IF(A32&lt;=分齡表最大顯示年齡,'試算表 (0-15歲)'!B13,"")),""),IF(保費分齡表對應=1,IF(總檢核,IF(A31=分齡表最大顯示年齡,"***以下空白***",IF(A32&lt;=分齡表最大顯示年齡,'試算表 (0-15歲)'!B13,"")),""),""))</f>
        <v>14290</v>
      </c>
      <c r="E32" s="243"/>
      <c r="F32" s="243"/>
      <c r="G32" s="241">
        <f ca="1">IF(DPAA保額="",IF(總檢核,IF(A32="","",SUM('試算表 (0-15歲)'!C13:N13)),""),IF(保費分齡表對應=1,IF(總檢核,IF(A32="","",SUM('試算表 (0-15歲)'!C13:N13)),""),""))</f>
        <v>0</v>
      </c>
      <c r="H32" s="241"/>
      <c r="I32" s="241"/>
      <c r="J32" s="241">
        <f t="shared" ca="1" si="6"/>
        <v>14290</v>
      </c>
      <c r="K32" s="241"/>
      <c r="L32" s="241"/>
      <c r="M32" s="241"/>
      <c r="N32" s="243">
        <f ca="1">IF(DPAA保額="",IF(總檢核,IF(A32="","",'試算表 (0-15歲)'!O13),""),IF(保費分齡表對應=1,IF(總檢核,IF(A32="","",'試算表 (0-15歲)'!O13),""),""))</f>
        <v>14250</v>
      </c>
      <c r="O32" s="243"/>
      <c r="P32" s="243"/>
      <c r="Q32" s="243">
        <f ca="1">IF(DPAA保額="",IF(總檢核,IF(A32="","",SUM('試算表 (0-15歲)'!P13:AA13)),""),IF(保費分齡表對應=1,IF(總檢核,IF(A32="","",SUM('試算表 (0-15歲)'!P13:AA13)),""),""))</f>
        <v>0</v>
      </c>
      <c r="R32" s="243"/>
      <c r="S32" s="243"/>
      <c r="T32" s="241">
        <f t="shared" ca="1" si="7"/>
        <v>14250</v>
      </c>
      <c r="U32" s="241"/>
      <c r="V32" s="241"/>
      <c r="W32" s="241"/>
    </row>
    <row r="33" spans="1:23">
      <c r="A33" s="244">
        <f ca="1">IF(DPAA保額="",IF(總檢核,'試算表 (0-15歲)'!A14,""),IF(保費分齡表對應=1,IF(總檢核,'試算表 (0-15歲)'!A14,""),""))</f>
        <v>10</v>
      </c>
      <c r="B33" s="244"/>
      <c r="C33" s="244"/>
      <c r="D33" s="245">
        <f ca="1">IF(DPAA保額="",IF(總檢核,IF(A32=分齡表最大顯示年齡,"***以下空白***",IF(A33&lt;=分齡表最大顯示年齡,'試算表 (0-15歲)'!B14,"")),""),IF(保費分齡表對應=1,IF(總檢核,IF(A32=分齡表最大顯示年齡,"***以下空白***",IF(A33&lt;=分齡表最大顯示年齡,'試算表 (0-15歲)'!B14,"")),""),""))</f>
        <v>14300</v>
      </c>
      <c r="E33" s="245"/>
      <c r="F33" s="245"/>
      <c r="G33" s="246">
        <f ca="1">IF(DPAA保額="",IF(總檢核,IF(A33="","",SUM('試算表 (0-15歲)'!C14:N14)),""),IF(保費分齡表對應=1,IF(總檢核,IF(A33="","",SUM('試算表 (0-15歲)'!C14:N14)),""),""))</f>
        <v>0</v>
      </c>
      <c r="H33" s="246"/>
      <c r="I33" s="246"/>
      <c r="J33" s="246">
        <f t="shared" ca="1" si="6"/>
        <v>14300</v>
      </c>
      <c r="K33" s="246"/>
      <c r="L33" s="246"/>
      <c r="M33" s="246"/>
      <c r="N33" s="245">
        <f ca="1">IF(DPAA保額="",IF(總檢核,IF(A33="","",'試算表 (0-15歲)'!O14),""),IF(保費分齡表對應=1,IF(總檢核,IF(A33="","",'試算表 (0-15歲)'!O14),""),""))</f>
        <v>14260</v>
      </c>
      <c r="O33" s="245"/>
      <c r="P33" s="245"/>
      <c r="Q33" s="245">
        <f ca="1">IF(DPAA保額="",IF(總檢核,IF(A33="","",SUM('試算表 (0-15歲)'!P14:AA14)),""),IF(保費分齡表對應=1,IF(總檢核,IF(A33="","",SUM('試算表 (0-15歲)'!P14:AA14)),""),""))</f>
        <v>0</v>
      </c>
      <c r="R33" s="245"/>
      <c r="S33" s="245"/>
      <c r="T33" s="246">
        <f t="shared" ca="1" si="7"/>
        <v>14260</v>
      </c>
      <c r="U33" s="246"/>
      <c r="V33" s="246"/>
      <c r="W33" s="246"/>
    </row>
    <row r="34" spans="1:23">
      <c r="A34" s="227">
        <f ca="1">IF(DPAA保額="",IF(總檢核,'試算表 (0-15歲)'!A15,""),IF(保費分齡表對應=1,IF(總檢核,'試算表 (0-15歲)'!A15,""),""))</f>
        <v>11</v>
      </c>
      <c r="B34" s="227"/>
      <c r="C34" s="227"/>
      <c r="D34" s="243">
        <f ca="1">IF(DPAA保額="",IF(總檢核,IF(A33=分齡表最大顯示年齡,"***以下空白***",IF(A34&lt;=分齡表最大顯示年齡,'試算表 (0-15歲)'!B15,"")),""),IF(保費分齡表對應=1,IF(總檢核,IF(A33=分齡表最大顯示年齡,"***以下空白***",IF(A34&lt;=分齡表最大顯示年齡,'試算表 (0-15歲)'!B15,"")),""),""))</f>
        <v>14500</v>
      </c>
      <c r="E34" s="243"/>
      <c r="F34" s="243"/>
      <c r="G34" s="241">
        <f ca="1">IF(DPAA保額="",IF(總檢核,IF(A34="","",SUM('試算表 (0-15歲)'!C15:N15)),""),IF(保費分齡表對應=1,IF(總檢核,IF(A34="","",SUM('試算表 (0-15歲)'!C15:N15)),""),""))</f>
        <v>0</v>
      </c>
      <c r="H34" s="241"/>
      <c r="I34" s="241"/>
      <c r="J34" s="241">
        <f t="shared" ca="1" si="6"/>
        <v>14500</v>
      </c>
      <c r="K34" s="241"/>
      <c r="L34" s="241"/>
      <c r="M34" s="241"/>
      <c r="N34" s="243">
        <f ca="1">IF(DPAA保額="",IF(總檢核,IF(A34="","",'試算表 (0-15歲)'!O15),""),IF(保費分齡表對應=1,IF(總檢核,IF(A34="","",'試算表 (0-15歲)'!O15),""),""))</f>
        <v>14420</v>
      </c>
      <c r="O34" s="243"/>
      <c r="P34" s="243"/>
      <c r="Q34" s="243">
        <f ca="1">IF(DPAA保額="",IF(總檢核,IF(A34="","",SUM('試算表 (0-15歲)'!P15:AA15)),""),IF(保費分齡表對應=1,IF(總檢核,IF(A34="","",SUM('試算表 (0-15歲)'!P15:AA15)),""),""))</f>
        <v>0</v>
      </c>
      <c r="R34" s="243"/>
      <c r="S34" s="243"/>
      <c r="T34" s="241">
        <f t="shared" ca="1" si="7"/>
        <v>14420</v>
      </c>
      <c r="U34" s="241"/>
      <c r="V34" s="241"/>
      <c r="W34" s="241"/>
    </row>
    <row r="35" spans="1:23">
      <c r="A35" s="227">
        <f ca="1">IF(DPAA保額="",IF(總檢核,'試算表 (0-15歲)'!A16,""),IF(保費分齡表對應=1,IF(總檢核,'試算表 (0-15歲)'!A16,""),""))</f>
        <v>12</v>
      </c>
      <c r="B35" s="227"/>
      <c r="C35" s="227"/>
      <c r="D35" s="243">
        <f ca="1">IF(DPAA保額="",IF(總檢核,IF(A34=分齡表最大顯示年齡,"***以下空白***",IF(A35&lt;=分齡表最大顯示年齡,'試算表 (0-15歲)'!B16,"")),""),IF(保費分齡表對應=1,IF(總檢核,IF(A34=分齡表最大顯示年齡,"***以下空白***",IF(A35&lt;=分齡表最大顯示年齡,'試算表 (0-15歲)'!B16,"")),""),""))</f>
        <v>14700</v>
      </c>
      <c r="E35" s="243"/>
      <c r="F35" s="243"/>
      <c r="G35" s="241">
        <f ca="1">IF(DPAA保額="",IF(總檢核,IF(A35="","",SUM('試算表 (0-15歲)'!C16:N16)),""),IF(保費分齡表對應=1,IF(總檢核,IF(A35="","",SUM('試算表 (0-15歲)'!C16:N16)),""),""))</f>
        <v>0</v>
      </c>
      <c r="H35" s="241"/>
      <c r="I35" s="241"/>
      <c r="J35" s="241">
        <f t="shared" ca="1" si="6"/>
        <v>14700</v>
      </c>
      <c r="K35" s="241"/>
      <c r="L35" s="241"/>
      <c r="M35" s="241"/>
      <c r="N35" s="243">
        <f ca="1">IF(DPAA保額="",IF(總檢核,IF(A35="","",'試算表 (0-15歲)'!O16),""),IF(保費分齡表對應=1,IF(總檢核,IF(A35="","",'試算表 (0-15歲)'!O16),""),""))</f>
        <v>14670</v>
      </c>
      <c r="O35" s="243"/>
      <c r="P35" s="243"/>
      <c r="Q35" s="243">
        <f ca="1">IF(DPAA保額="",IF(總檢核,IF(A35="","",SUM('試算表 (0-15歲)'!P16:AA16)),""),IF(保費分齡表對應=1,IF(總檢核,IF(A35="","",SUM('試算表 (0-15歲)'!P16:AA16)),""),""))</f>
        <v>0</v>
      </c>
      <c r="R35" s="243"/>
      <c r="S35" s="243"/>
      <c r="T35" s="241">
        <f t="shared" ca="1" si="7"/>
        <v>14670</v>
      </c>
      <c r="U35" s="241"/>
      <c r="V35" s="241"/>
      <c r="W35" s="241"/>
    </row>
    <row r="36" spans="1:23">
      <c r="A36" s="227">
        <f ca="1">IF(DPAA保額="",IF(總檢核,'試算表 (0-15歲)'!A17,""),IF(保費分齡表對應=1,IF(總檢核,'試算表 (0-15歲)'!A17,""),""))</f>
        <v>13</v>
      </c>
      <c r="B36" s="227"/>
      <c r="C36" s="227"/>
      <c r="D36" s="243">
        <f ca="1">IF(DPAA保額="",IF(總檢核,IF(A35=分齡表最大顯示年齡,"***以下空白***",IF(A36&lt;=分齡表最大顯示年齡,'試算表 (0-15歲)'!B17,"")),""),IF(保費分齡表對應=1,IF(總檢核,IF(A35=分齡表最大顯示年齡,"***以下空白***",IF(A36&lt;=分齡表最大顯示年齡,'試算表 (0-15歲)'!B17,"")),""),""))</f>
        <v>14950</v>
      </c>
      <c r="E36" s="243"/>
      <c r="F36" s="243"/>
      <c r="G36" s="241">
        <f ca="1">IF(DPAA保額="",IF(總檢核,IF(A36="","",SUM('試算表 (0-15歲)'!C17:N17)),""),IF(保費分齡表對應=1,IF(總檢核,IF(A36="","",SUM('試算表 (0-15歲)'!C17:N17)),""),""))</f>
        <v>0</v>
      </c>
      <c r="H36" s="241"/>
      <c r="I36" s="241"/>
      <c r="J36" s="241">
        <f t="shared" ca="1" si="6"/>
        <v>14950</v>
      </c>
      <c r="K36" s="241"/>
      <c r="L36" s="241"/>
      <c r="M36" s="241"/>
      <c r="N36" s="243">
        <f ca="1">IF(DPAA保額="",IF(總檢核,IF(A36="","",'試算表 (0-15歲)'!O17),""),IF(保費分齡表對應=1,IF(總檢核,IF(A36="","",'試算表 (0-15歲)'!O17),""),""))</f>
        <v>14910</v>
      </c>
      <c r="O36" s="243"/>
      <c r="P36" s="243"/>
      <c r="Q36" s="243">
        <f ca="1">IF(DPAA保額="",IF(總檢核,IF(A36="","",SUM('試算表 (0-15歲)'!P17:AA17)),""),IF(保費分齡表對應=1,IF(總檢核,IF(A36="","",SUM('試算表 (0-15歲)'!P17:AA17)),""),""))</f>
        <v>0</v>
      </c>
      <c r="R36" s="243"/>
      <c r="S36" s="243"/>
      <c r="T36" s="241">
        <f t="shared" ca="1" si="7"/>
        <v>14910</v>
      </c>
      <c r="U36" s="241"/>
      <c r="V36" s="241"/>
      <c r="W36" s="241"/>
    </row>
    <row r="37" spans="1:23">
      <c r="A37" s="227">
        <f ca="1">IF(DPAA保額="",IF(總檢核,'試算表 (0-15歲)'!A18,""),IF(保費分齡表對應=1,IF(總檢核,'試算表 (0-15歲)'!A18,""),""))</f>
        <v>14</v>
      </c>
      <c r="B37" s="227"/>
      <c r="C37" s="227"/>
      <c r="D37" s="243">
        <f ca="1">IF(DPAA保額="",IF(總檢核,IF(A36=分齡表最大顯示年齡,"***以下空白***",IF(A37&lt;=分齡表最大顯示年齡,'試算表 (0-15歲)'!B18,"")),""),IF(保費分齡表對應=1,IF(總檢核,IF(A36=分齡表最大顯示年齡,"***以下空白***",IF(A37&lt;=分齡表最大顯示年齡,'試算表 (0-15歲)'!B18,"")),""),""))</f>
        <v>15200</v>
      </c>
      <c r="E37" s="243"/>
      <c r="F37" s="243"/>
      <c r="G37" s="241">
        <f ca="1">IF(DPAA保額="",IF(總檢核,IF(A37="","",SUM('試算表 (0-15歲)'!C18:N18)),""),IF(保費分齡表對應=1,IF(總檢核,IF(A37="","",SUM('試算表 (0-15歲)'!C18:N18)),""),""))</f>
        <v>0</v>
      </c>
      <c r="H37" s="241"/>
      <c r="I37" s="241"/>
      <c r="J37" s="241">
        <f t="shared" ca="1" si="6"/>
        <v>15200</v>
      </c>
      <c r="K37" s="241"/>
      <c r="L37" s="241"/>
      <c r="M37" s="241"/>
      <c r="N37" s="243">
        <f ca="1">IF(DPAA保額="",IF(總檢核,IF(A37="","",'試算表 (0-15歲)'!O18),""),IF(保費分齡表對應=1,IF(總檢核,IF(A37="","",'試算表 (0-15歲)'!O18),""),""))</f>
        <v>15140</v>
      </c>
      <c r="O37" s="243"/>
      <c r="P37" s="243"/>
      <c r="Q37" s="243">
        <f ca="1">IF(DPAA保額="",IF(總檢核,IF(A37="","",SUM('試算表 (0-15歲)'!P18:AA18)),""),IF(保費分齡表對應=1,IF(總檢核,IF(A37="","",SUM('試算表 (0-15歲)'!P18:AA18)),""),""))</f>
        <v>0</v>
      </c>
      <c r="R37" s="243"/>
      <c r="S37" s="243"/>
      <c r="T37" s="241">
        <f t="shared" ca="1" si="7"/>
        <v>15140</v>
      </c>
      <c r="U37" s="241"/>
      <c r="V37" s="241"/>
      <c r="W37" s="241"/>
    </row>
    <row r="38" spans="1:23" ht="16" thickBot="1">
      <c r="A38" s="247">
        <f ca="1">IF(DPAA保額="",IF(總檢核,'試算表 (0-15歲)'!A19,""),IF(保費分齡表對應=1,IF(總檢核,'試算表 (0-15歲)'!A19,""),""))</f>
        <v>15</v>
      </c>
      <c r="B38" s="247"/>
      <c r="C38" s="247"/>
      <c r="D38" s="248">
        <f ca="1">IF(DPAA保額="",IF(總檢核,IF(A37=分齡表最大顯示年齡,"***以下空白***",IF(A38&lt;=分齡表最大顯示年齡,'試算表 (0-15歲)'!B19,"")),""),IF(保費分齡表對應=1,IF(總檢核,IF(A37=分齡表最大顯示年齡,"***以下空白***",IF(A38&lt;=分齡表最大顯示年齡,'試算表 (0-15歲)'!B19,"")),""),""))</f>
        <v>15430</v>
      </c>
      <c r="E38" s="248"/>
      <c r="F38" s="248"/>
      <c r="G38" s="249">
        <f ca="1">IF(DPAA保額="",IF(總檢核,IF(A38="","",SUM('試算表 (0-15歲)'!C19:N19)),""),IF(保費分齡表對應=1,IF(總檢核,IF(A38="","",SUM('試算表 (0-15歲)'!C19:N19)),""),""))</f>
        <v>0</v>
      </c>
      <c r="H38" s="249"/>
      <c r="I38" s="249"/>
      <c r="J38" s="249">
        <f t="shared" ca="1" si="6"/>
        <v>15430</v>
      </c>
      <c r="K38" s="249"/>
      <c r="L38" s="249"/>
      <c r="M38" s="249"/>
      <c r="N38" s="248">
        <f ca="1">IF(DPAA保額="",IF(總檢核,IF(A38="","",'試算表 (0-15歲)'!O19),""),IF(保費分齡表對應=1,IF(總檢核,IF(A38="","",'試算表 (0-15歲)'!O19),""),""))</f>
        <v>15370</v>
      </c>
      <c r="O38" s="248"/>
      <c r="P38" s="248"/>
      <c r="Q38" s="248">
        <f ca="1">IF(DPAA保額="",IF(總檢核,IF(A38="","",SUM('試算表 (0-15歲)'!P19:AA19)),""),IF(保費分齡表對應=1,IF(總檢核,IF(A38="","",SUM('試算表 (0-15歲)'!P19:AA19)),""),""))</f>
        <v>0</v>
      </c>
      <c r="R38" s="248"/>
      <c r="S38" s="248"/>
      <c r="T38" s="249">
        <f t="shared" ca="1" si="7"/>
        <v>15370</v>
      </c>
      <c r="U38" s="249"/>
      <c r="V38" s="249"/>
      <c r="W38" s="249"/>
    </row>
    <row r="39" spans="1:23" hidden="1">
      <c r="A39" s="251" t="str">
        <f ca="1">IF(DPAA保額="",IF(總檢核,'試算表 (0-15歲)'!A20,""),IF(保費分齡表對應=1,IF(總檢核,'試算表 (0-15歲)'!A20,""),""))</f>
        <v/>
      </c>
      <c r="B39" s="251"/>
      <c r="C39" s="251"/>
      <c r="D39" s="252" t="str">
        <f ca="1">IF(DPAA保額="",IF(總檢核,IF(A38=分齡表最大顯示年齡,"***以下空白***",IF(A39&lt;=分齡表最大顯示年齡,'試算表 (0-15歲)'!B20,"")),""),IF(保費分齡表對應=1,IF(總檢核,IF(A38=分齡表最大顯示年齡,"***以下空白***",IF(A39&lt;=分齡表最大顯示年齡,'試算表 (0-15歲)'!B20,"")),""),""))</f>
        <v/>
      </c>
      <c r="E39" s="252"/>
      <c r="F39" s="252"/>
      <c r="G39" s="250" t="str">
        <f ca="1">IF(DPAA保額="",IF(總檢核,IF(A39="","",SUM('試算表 (0-15歲)'!C20:N20)),""),IF(保費分齡表對應=1,IF(總檢核,IF(A39="","",SUM('試算表 (0-15歲)'!C20:N20)),""),""))</f>
        <v/>
      </c>
      <c r="H39" s="250"/>
      <c r="I39" s="250"/>
      <c r="J39" s="250" t="str">
        <f t="shared" ca="1" si="6"/>
        <v/>
      </c>
      <c r="K39" s="250"/>
      <c r="L39" s="250"/>
      <c r="M39" s="250"/>
      <c r="N39" s="252" t="str">
        <f ca="1">IF(DPAA保額="",IF(總檢核,IF(A39="","",'試算表 (0-15歲)'!O20),""),IF(保費分齡表對應=1,IF(總檢核,IF(A39="","",'試算表 (0-15歲)'!O20),""),""))</f>
        <v/>
      </c>
      <c r="O39" s="252"/>
      <c r="P39" s="252"/>
      <c r="Q39" s="252" t="str">
        <f ca="1">IF(DPAA保額="",IF(總檢核,IF(A39="","",SUM('試算表 (0-15歲)'!P20:AA20)),""),IF(保費分齡表對應=1,IF(總檢核,IF(A39="","",SUM('試算表 (0-15歲)'!P20:AA20)),""),""))</f>
        <v/>
      </c>
      <c r="R39" s="252"/>
      <c r="S39" s="252"/>
      <c r="T39" s="250" t="str">
        <f t="shared" ca="1" si="7"/>
        <v/>
      </c>
      <c r="U39" s="250"/>
      <c r="V39" s="250"/>
      <c r="W39" s="250"/>
    </row>
    <row r="40" spans="1:23" hidden="1">
      <c r="A40" s="251" t="str">
        <f ca="1">IF(DPAA保額="",IF(總檢核,'試算表 (0-15歲)'!A21,""),IF(保費分齡表對應=1,IF(總檢核,'試算表 (0-15歲)'!A21,""),""))</f>
        <v/>
      </c>
      <c r="B40" s="251"/>
      <c r="C40" s="251"/>
      <c r="D40" s="252" t="str">
        <f ca="1">IF(DPAA保額="",IF(總檢核,IF(A39=分齡表最大顯示年齡,"***以下空白***",IF(A40&lt;=分齡表最大顯示年齡,'試算表 (0-15歲)'!B21,"")),""),IF(保費分齡表對應=1,IF(總檢核,IF(A39=分齡表最大顯示年齡,"***以下空白***",IF(A40&lt;=分齡表最大顯示年齡,'試算表 (0-15歲)'!B21,"")),""),""))</f>
        <v/>
      </c>
      <c r="E40" s="252"/>
      <c r="F40" s="252"/>
      <c r="G40" s="250" t="str">
        <f ca="1">IF(DPAA保額="",IF(總檢核,IF(A40="","",SUM('試算表 (0-15歲)'!C21:N21)),""),IF(保費分齡表對應=1,IF(總檢核,IF(A40="","",SUM('試算表 (0-15歲)'!C21:N21)),""),""))</f>
        <v/>
      </c>
      <c r="H40" s="250"/>
      <c r="I40" s="250"/>
      <c r="J40" s="250" t="str">
        <f t="shared" ca="1" si="6"/>
        <v/>
      </c>
      <c r="K40" s="250"/>
      <c r="L40" s="250"/>
      <c r="M40" s="250"/>
      <c r="N40" s="252" t="str">
        <f ca="1">IF(DPAA保額="",IF(總檢核,IF(A40="","",'試算表 (0-15歲)'!O21),""),IF(保費分齡表對應=1,IF(總檢核,IF(A40="","",'試算表 (0-15歲)'!O21),""),""))</f>
        <v/>
      </c>
      <c r="O40" s="252"/>
      <c r="P40" s="252"/>
      <c r="Q40" s="252" t="str">
        <f ca="1">IF(DPAA保額="",IF(總檢核,IF(A40="","",SUM('試算表 (0-15歲)'!P21:AA21)),""),IF(保費分齡表對應=1,IF(總檢核,IF(A40="","",SUM('試算表 (0-15歲)'!P21:AA21)),""),""))</f>
        <v/>
      </c>
      <c r="R40" s="252"/>
      <c r="S40" s="252"/>
      <c r="T40" s="250" t="str">
        <f t="shared" ca="1" si="7"/>
        <v/>
      </c>
      <c r="U40" s="250"/>
      <c r="V40" s="250"/>
      <c r="W40" s="250"/>
    </row>
    <row r="41" spans="1:23" hidden="1">
      <c r="A41" s="251" t="str">
        <f ca="1">IF(DPAA保額="",IF(總檢核,'試算表 (0-15歲)'!A22,""),IF(保費分齡表對應=1,IF(總檢核,'試算表 (0-15歲)'!A22,""),""))</f>
        <v/>
      </c>
      <c r="B41" s="251"/>
      <c r="C41" s="251"/>
      <c r="D41" s="252" t="str">
        <f ca="1">IF(DPAA保額="",IF(總檢核,IF(A40=分齡表最大顯示年齡,"***以下空白***",IF(A41&lt;=分齡表最大顯示年齡,'試算表 (0-15歲)'!B22,"")),""),IF(保費分齡表對應=1,IF(總檢核,IF(A40=分齡表最大顯示年齡,"***以下空白***",IF(A41&lt;=分齡表最大顯示年齡,'試算表 (0-15歲)'!B22,"")),""),""))</f>
        <v/>
      </c>
      <c r="E41" s="252"/>
      <c r="F41" s="252"/>
      <c r="G41" s="250" t="str">
        <f ca="1">IF(DPAA保額="",IF(總檢核,IF(A41="","",SUM('試算表 (0-15歲)'!C22:N22)),""),IF(保費分齡表對應=1,IF(總檢核,IF(A41="","",SUM('試算表 (0-15歲)'!C22:N22)),""),""))</f>
        <v/>
      </c>
      <c r="H41" s="250"/>
      <c r="I41" s="250"/>
      <c r="J41" s="250" t="str">
        <f t="shared" ca="1" si="6"/>
        <v/>
      </c>
      <c r="K41" s="250"/>
      <c r="L41" s="250"/>
      <c r="M41" s="250"/>
      <c r="N41" s="252" t="str">
        <f ca="1">IF(DPAA保額="",IF(總檢核,IF(A41="","",'試算表 (0-15歲)'!O22),""),IF(保費分齡表對應=1,IF(總檢核,IF(A41="","",'試算表 (0-15歲)'!O22),""),""))</f>
        <v/>
      </c>
      <c r="O41" s="252"/>
      <c r="P41" s="252"/>
      <c r="Q41" s="252" t="str">
        <f ca="1">IF(DPAA保額="",IF(總檢核,IF(A41="","",SUM('試算表 (0-15歲)'!P22:AA22)),""),IF(保費分齡表對應=1,IF(總檢核,IF(A41="","",SUM('試算表 (0-15歲)'!P22:AA22)),""),""))</f>
        <v/>
      </c>
      <c r="R41" s="252"/>
      <c r="S41" s="252"/>
      <c r="T41" s="250" t="str">
        <f t="shared" ca="1" si="7"/>
        <v/>
      </c>
      <c r="U41" s="250"/>
      <c r="V41" s="250"/>
      <c r="W41" s="250"/>
    </row>
    <row r="42" spans="1:23" hidden="1">
      <c r="A42" s="251" t="str">
        <f ca="1">IF(DPAA保額="",IF(總檢核,'試算表 (0-15歲)'!A23,""),IF(保費分齡表對應=1,IF(總檢核,'試算表 (0-15歲)'!A23,""),""))</f>
        <v/>
      </c>
      <c r="B42" s="251"/>
      <c r="C42" s="251"/>
      <c r="D42" s="252" t="str">
        <f ca="1">IF(DPAA保額="",IF(總檢核,IF(A41=分齡表最大顯示年齡,"***以下空白***",IF(A42&lt;=分齡表最大顯示年齡,'試算表 (0-15歲)'!B23,"")),""),IF(保費分齡表對應=1,IF(總檢核,IF(A41=分齡表最大顯示年齡,"***以下空白***",IF(A42&lt;=分齡表最大顯示年齡,'試算表 (0-15歲)'!B23,"")),""),""))</f>
        <v/>
      </c>
      <c r="E42" s="252"/>
      <c r="F42" s="252"/>
      <c r="G42" s="250" t="str">
        <f ca="1">IF(DPAA保額="",IF(總檢核,IF(A42="","",SUM('試算表 (0-15歲)'!C23:N23)),""),IF(保費分齡表對應=1,IF(總檢核,IF(A42="","",SUM('試算表 (0-15歲)'!C23:N23)),""),""))</f>
        <v/>
      </c>
      <c r="H42" s="250"/>
      <c r="I42" s="250"/>
      <c r="J42" s="250" t="str">
        <f t="shared" ca="1" si="6"/>
        <v/>
      </c>
      <c r="K42" s="250"/>
      <c r="L42" s="250"/>
      <c r="M42" s="250"/>
      <c r="N42" s="252" t="str">
        <f ca="1">IF(DPAA保額="",IF(總檢核,IF(A42="","",'試算表 (0-15歲)'!O23),""),IF(保費分齡表對應=1,IF(總檢核,IF(A42="","",'試算表 (0-15歲)'!O23),""),""))</f>
        <v/>
      </c>
      <c r="O42" s="252"/>
      <c r="P42" s="252"/>
      <c r="Q42" s="252" t="str">
        <f ca="1">IF(DPAA保額="",IF(總檢核,IF(A42="","",SUM('試算表 (0-15歲)'!P23:AA23)),""),IF(保費分齡表對應=1,IF(總檢核,IF(A42="","",SUM('試算表 (0-15歲)'!P23:AA23)),""),""))</f>
        <v/>
      </c>
      <c r="R42" s="252"/>
      <c r="S42" s="252"/>
      <c r="T42" s="250" t="str">
        <f t="shared" ca="1" si="7"/>
        <v/>
      </c>
      <c r="U42" s="250"/>
      <c r="V42" s="250"/>
      <c r="W42" s="250"/>
    </row>
    <row r="43" spans="1:23" hidden="1">
      <c r="A43" s="254" t="str">
        <f ca="1">IF(DPAA保額="",IF(總檢核,'試算表 (0-15歲)'!A24,""),IF(保費分齡表對應=1,IF(總檢核,'試算表 (0-15歲)'!A24,""),""))</f>
        <v/>
      </c>
      <c r="B43" s="254"/>
      <c r="C43" s="254"/>
      <c r="D43" s="255" t="str">
        <f ca="1">IF(DPAA保額="",IF(總檢核,IF(A42=分齡表最大顯示年齡,"***以下空白***",IF(A43&lt;=分齡表最大顯示年齡,'試算表 (0-15歲)'!B24,"")),""),IF(保費分齡表對應=1,IF(總檢核,IF(A42=分齡表最大顯示年齡,"***以下空白***",IF(A43&lt;=分齡表最大顯示年齡,'試算表 (0-15歲)'!B24,"")),""),""))</f>
        <v/>
      </c>
      <c r="E43" s="255"/>
      <c r="F43" s="255"/>
      <c r="G43" s="253" t="str">
        <f ca="1">IF(DPAA保額="",IF(總檢核,IF(A43="","",SUM('試算表 (0-15歲)'!C24:N24)),""),IF(保費分齡表對應=1,IF(總檢核,IF(A43="","",SUM('試算表 (0-15歲)'!C24:N24)),""),""))</f>
        <v/>
      </c>
      <c r="H43" s="253"/>
      <c r="I43" s="253"/>
      <c r="J43" s="253" t="str">
        <f t="shared" ca="1" si="6"/>
        <v/>
      </c>
      <c r="K43" s="253"/>
      <c r="L43" s="253"/>
      <c r="M43" s="253"/>
      <c r="N43" s="255" t="str">
        <f ca="1">IF(DPAA保額="",IF(總檢核,IF(A43="","",'試算表 (0-15歲)'!O24),""),IF(保費分齡表對應=1,IF(總檢核,IF(A43="","",'試算表 (0-15歲)'!O24),""),""))</f>
        <v/>
      </c>
      <c r="O43" s="255"/>
      <c r="P43" s="255"/>
      <c r="Q43" s="255" t="str">
        <f ca="1">IF(DPAA保額="",IF(總檢核,IF(A43="","",SUM('試算表 (0-15歲)'!P24:AA24)),""),IF(保費分齡表對應=1,IF(總檢核,IF(A43="","",SUM('試算表 (0-15歲)'!P24:AA24)),""),""))</f>
        <v/>
      </c>
      <c r="R43" s="255"/>
      <c r="S43" s="255"/>
      <c r="T43" s="253" t="str">
        <f t="shared" ca="1" si="7"/>
        <v/>
      </c>
      <c r="U43" s="253"/>
      <c r="V43" s="253"/>
      <c r="W43" s="253"/>
    </row>
    <row r="44" spans="1:23" hidden="1">
      <c r="A44" s="251" t="str">
        <f ca="1">IF(DPAA保額="",IF(總檢核,'試算表 (0-15歲)'!A25,""),IF(保費分齡表對應=1,IF(總檢核,'試算表 (0-15歲)'!A25,""),""))</f>
        <v/>
      </c>
      <c r="B44" s="251"/>
      <c r="C44" s="251"/>
      <c r="D44" s="252" t="str">
        <f ca="1">IF(DPAA保額="",IF(總檢核,IF(A43=分齡表最大顯示年齡,"***以下空白***",IF(A44&lt;=分齡表最大顯示年齡,'試算表 (0-15歲)'!B25,"")),""),IF(保費分齡表對應=1,IF(總檢核,IF(A43=分齡表最大顯示年齡,"***以下空白***",IF(A44&lt;=分齡表最大顯示年齡,'試算表 (0-15歲)'!B25,"")),""),""))</f>
        <v/>
      </c>
      <c r="E44" s="252"/>
      <c r="F44" s="252"/>
      <c r="G44" s="250" t="str">
        <f ca="1">IF(DPAA保額="",IF(總檢核,IF(A44="","",SUM('試算表 (0-15歲)'!C25:N25)),""),IF(保費分齡表對應=1,IF(總檢核,IF(A44="","",SUM('試算表 (0-15歲)'!C25:N25)),""),""))</f>
        <v/>
      </c>
      <c r="H44" s="250"/>
      <c r="I44" s="250"/>
      <c r="J44" s="250" t="str">
        <f t="shared" ca="1" si="6"/>
        <v/>
      </c>
      <c r="K44" s="250"/>
      <c r="L44" s="250"/>
      <c r="M44" s="250"/>
      <c r="N44" s="252" t="str">
        <f ca="1">IF(DPAA保額="",IF(總檢核,IF(A44="","",'試算表 (0-15歲)'!O25),""),IF(保費分齡表對應=1,IF(總檢核,IF(A44="","",'試算表 (0-15歲)'!O25),""),""))</f>
        <v/>
      </c>
      <c r="O44" s="252"/>
      <c r="P44" s="252"/>
      <c r="Q44" s="252" t="str">
        <f ca="1">IF(DPAA保額="",IF(總檢核,IF(A44="","",SUM('試算表 (0-15歲)'!P25:AA25)),""),IF(保費分齡表對應=1,IF(總檢核,IF(A44="","",SUM('試算表 (0-15歲)'!P25:AA25)),""),""))</f>
        <v/>
      </c>
      <c r="R44" s="252"/>
      <c r="S44" s="252"/>
      <c r="T44" s="250" t="str">
        <f t="shared" ca="1" si="7"/>
        <v/>
      </c>
      <c r="U44" s="250"/>
      <c r="V44" s="250"/>
      <c r="W44" s="250"/>
    </row>
    <row r="45" spans="1:23" hidden="1">
      <c r="A45" s="251" t="str">
        <f ca="1">IF(DPAA保額="",IF(總檢核,'試算表 (0-15歲)'!A26,""),IF(保費分齡表對應=1,IF(總檢核,'試算表 (0-15歲)'!A26,""),""))</f>
        <v/>
      </c>
      <c r="B45" s="251"/>
      <c r="C45" s="251"/>
      <c r="D45" s="252" t="str">
        <f ca="1">IF(DPAA保額="",IF(總檢核,IF(A44=分齡表最大顯示年齡,"***以下空白***",IF(A45&lt;=分齡表最大顯示年齡,'試算表 (0-15歲)'!B26,"")),""),IF(保費分齡表對應=1,IF(總檢核,IF(A44=分齡表最大顯示年齡,"***以下空白***",IF(A45&lt;=分齡表最大顯示年齡,'試算表 (0-15歲)'!B26,"")),""),""))</f>
        <v/>
      </c>
      <c r="E45" s="252"/>
      <c r="F45" s="252"/>
      <c r="G45" s="250" t="str">
        <f ca="1">IF(DPAA保額="",IF(總檢核,IF(A45="","",SUM('試算表 (0-15歲)'!C26:N26)),""),IF(保費分齡表對應=1,IF(總檢核,IF(A45="","",SUM('試算表 (0-15歲)'!C26:N26)),""),""))</f>
        <v/>
      </c>
      <c r="H45" s="250"/>
      <c r="I45" s="250"/>
      <c r="J45" s="250" t="str">
        <f t="shared" ca="1" si="6"/>
        <v/>
      </c>
      <c r="K45" s="250"/>
      <c r="L45" s="250"/>
      <c r="M45" s="250"/>
      <c r="N45" s="252" t="str">
        <f ca="1">IF(DPAA保額="",IF(總檢核,IF(A45="","",'試算表 (0-15歲)'!O26),""),IF(保費分齡表對應=1,IF(總檢核,IF(A45="","",'試算表 (0-15歲)'!O26),""),""))</f>
        <v/>
      </c>
      <c r="O45" s="252"/>
      <c r="P45" s="252"/>
      <c r="Q45" s="252" t="str">
        <f ca="1">IF(DPAA保額="",IF(總檢核,IF(A45="","",SUM('試算表 (0-15歲)'!P26:AA26)),""),IF(保費分齡表對應=1,IF(總檢核,IF(A45="","",SUM('試算表 (0-15歲)'!P26:AA26)),""),""))</f>
        <v/>
      </c>
      <c r="R45" s="252"/>
      <c r="S45" s="252"/>
      <c r="T45" s="250" t="str">
        <f t="shared" ca="1" si="7"/>
        <v/>
      </c>
      <c r="U45" s="250"/>
      <c r="V45" s="250"/>
      <c r="W45" s="250"/>
    </row>
    <row r="46" spans="1:23" hidden="1">
      <c r="A46" s="251" t="str">
        <f ca="1">IF(DPAA保額="",IF(總檢核,'試算表 (0-15歲)'!A27,""),IF(保費分齡表對應=1,IF(總檢核,'試算表 (0-15歲)'!A27,""),""))</f>
        <v/>
      </c>
      <c r="B46" s="251"/>
      <c r="C46" s="251"/>
      <c r="D46" s="252" t="str">
        <f ca="1">IF(DPAA保額="",IF(總檢核,IF(A45=分齡表最大顯示年齡,"***以下空白***",IF(A46&lt;=分齡表最大顯示年齡,'試算表 (0-15歲)'!B27,"")),""),IF(保費分齡表對應=1,IF(總檢核,IF(A45=分齡表最大顯示年齡,"***以下空白***",IF(A46&lt;=分齡表最大顯示年齡,'試算表 (0-15歲)'!B27,"")),""),""))</f>
        <v/>
      </c>
      <c r="E46" s="252"/>
      <c r="F46" s="252"/>
      <c r="G46" s="250" t="str">
        <f ca="1">IF(DPAA保額="",IF(總檢核,IF(A46="","",SUM('試算表 (0-15歲)'!C27:N27)),""),IF(保費分齡表對應=1,IF(總檢核,IF(A46="","",SUM('試算表 (0-15歲)'!C27:N27)),""),""))</f>
        <v/>
      </c>
      <c r="H46" s="250"/>
      <c r="I46" s="250"/>
      <c r="J46" s="250" t="str">
        <f t="shared" ca="1" si="6"/>
        <v/>
      </c>
      <c r="K46" s="250"/>
      <c r="L46" s="250"/>
      <c r="M46" s="250"/>
      <c r="N46" s="252" t="str">
        <f ca="1">IF(DPAA保額="",IF(總檢核,IF(A46="","",'試算表 (0-15歲)'!O27),""),IF(保費分齡表對應=1,IF(總檢核,IF(A46="","",'試算表 (0-15歲)'!O27),""),""))</f>
        <v/>
      </c>
      <c r="O46" s="252"/>
      <c r="P46" s="252"/>
      <c r="Q46" s="252" t="str">
        <f ca="1">IF(DPAA保額="",IF(總檢核,IF(A46="","",SUM('試算表 (0-15歲)'!P27:AA27)),""),IF(保費分齡表對應=1,IF(總檢核,IF(A46="","",SUM('試算表 (0-15歲)'!P27:AA27)),""),""))</f>
        <v/>
      </c>
      <c r="R46" s="252"/>
      <c r="S46" s="252"/>
      <c r="T46" s="250" t="str">
        <f t="shared" ca="1" si="7"/>
        <v/>
      </c>
      <c r="U46" s="250"/>
      <c r="V46" s="250"/>
      <c r="W46" s="250"/>
    </row>
    <row r="47" spans="1:23" hidden="1">
      <c r="A47" s="251" t="str">
        <f ca="1">IF(DPAA保額="",IF(總檢核,'試算表 (0-15歲)'!A28,""),IF(保費分齡表對應=1,IF(總檢核,'試算表 (0-15歲)'!A28,""),""))</f>
        <v/>
      </c>
      <c r="B47" s="251"/>
      <c r="C47" s="251"/>
      <c r="D47" s="252" t="str">
        <f ca="1">IF(DPAA保額="",IF(總檢核,IF(A46=分齡表最大顯示年齡,"***以下空白***",IF(A47&lt;=分齡表最大顯示年齡,'試算表 (0-15歲)'!B28,"")),""),IF(保費分齡表對應=1,IF(總檢核,IF(A46=分齡表最大顯示年齡,"***以下空白***",IF(A47&lt;=分齡表最大顯示年齡,'試算表 (0-15歲)'!B28,"")),""),""))</f>
        <v/>
      </c>
      <c r="E47" s="252"/>
      <c r="F47" s="252"/>
      <c r="G47" s="250" t="str">
        <f ca="1">IF(DPAA保額="",IF(總檢核,IF(A47="","",SUM('試算表 (0-15歲)'!C28:N28)),""),IF(保費分齡表對應=1,IF(總檢核,IF(A47="","",SUM('試算表 (0-15歲)'!C28:N28)),""),""))</f>
        <v/>
      </c>
      <c r="H47" s="250"/>
      <c r="I47" s="250"/>
      <c r="J47" s="250" t="str">
        <f t="shared" ca="1" si="6"/>
        <v/>
      </c>
      <c r="K47" s="250"/>
      <c r="L47" s="250"/>
      <c r="M47" s="250"/>
      <c r="N47" s="252" t="str">
        <f ca="1">IF(DPAA保額="",IF(總檢核,IF(A47="","",'試算表 (0-15歲)'!O28),""),IF(保費分齡表對應=1,IF(總檢核,IF(A47="","",'試算表 (0-15歲)'!O28),""),""))</f>
        <v/>
      </c>
      <c r="O47" s="252"/>
      <c r="P47" s="252"/>
      <c r="Q47" s="252" t="str">
        <f ca="1">IF(DPAA保額="",IF(總檢核,IF(A47="","",SUM('試算表 (0-15歲)'!P28:AA28)),""),IF(保費分齡表對應=1,IF(總檢核,IF(A47="","",SUM('試算表 (0-15歲)'!P28:AA28)),""),""))</f>
        <v/>
      </c>
      <c r="R47" s="252"/>
      <c r="S47" s="252"/>
      <c r="T47" s="250" t="str">
        <f t="shared" ca="1" si="7"/>
        <v/>
      </c>
      <c r="U47" s="250"/>
      <c r="V47" s="250"/>
      <c r="W47" s="250"/>
    </row>
    <row r="48" spans="1:23" hidden="1">
      <c r="A48" s="254" t="str">
        <f ca="1">IF(DPAA保額="",IF(總檢核,'試算表 (0-15歲)'!A29,""),IF(保費分齡表對應=1,IF(總檢核,'試算表 (0-15歲)'!A29,""),""))</f>
        <v/>
      </c>
      <c r="B48" s="254"/>
      <c r="C48" s="254"/>
      <c r="D48" s="255" t="str">
        <f ca="1">IF(DPAA保額="",IF(總檢核,IF(A47=分齡表最大顯示年齡,"***以下空白***",IF(A48&lt;=分齡表最大顯示年齡,'試算表 (0-15歲)'!B29,"")),""),IF(保費分齡表對應=1,IF(總檢核,IF(A47=分齡表最大顯示年齡,"***以下空白***",IF(A48&lt;=分齡表最大顯示年齡,'試算表 (0-15歲)'!B29,"")),""),""))</f>
        <v/>
      </c>
      <c r="E48" s="255"/>
      <c r="F48" s="255"/>
      <c r="G48" s="253" t="str">
        <f ca="1">IF(DPAA保額="",IF(總檢核,IF(A48="","",SUM('試算表 (0-15歲)'!C29:N29)),""),IF(保費分齡表對應=1,IF(總檢核,IF(A48="","",SUM('試算表 (0-15歲)'!C29:N29)),""),""))</f>
        <v/>
      </c>
      <c r="H48" s="253"/>
      <c r="I48" s="253"/>
      <c r="J48" s="253" t="str">
        <f t="shared" ca="1" si="6"/>
        <v/>
      </c>
      <c r="K48" s="253"/>
      <c r="L48" s="253"/>
      <c r="M48" s="253"/>
      <c r="N48" s="255" t="str">
        <f ca="1">IF(DPAA保額="",IF(總檢核,IF(A48="","",'試算表 (0-15歲)'!O29),""),IF(保費分齡表對應=1,IF(總檢核,IF(A48="","",'試算表 (0-15歲)'!O29),""),""))</f>
        <v/>
      </c>
      <c r="O48" s="255"/>
      <c r="P48" s="255"/>
      <c r="Q48" s="255" t="str">
        <f ca="1">IF(DPAA保額="",IF(總檢核,IF(A48="","",SUM('試算表 (0-15歲)'!P29:AA29)),""),IF(保費分齡表對應=1,IF(總檢核,IF(A48="","",SUM('試算表 (0-15歲)'!P29:AA29)),""),""))</f>
        <v/>
      </c>
      <c r="R48" s="255"/>
      <c r="S48" s="255"/>
      <c r="T48" s="253" t="str">
        <f t="shared" ca="1" si="7"/>
        <v/>
      </c>
      <c r="U48" s="253"/>
      <c r="V48" s="253"/>
      <c r="W48" s="253"/>
    </row>
    <row r="49" spans="1:23" hidden="1">
      <c r="A49" s="251" t="str">
        <f ca="1">IF(DPAA保額="",IF(總檢核,'試算表 (0-15歲)'!A30,""),IF(保費分齡表對應=1,IF(總檢核,'試算表 (0-15歲)'!A30,""),""))</f>
        <v/>
      </c>
      <c r="B49" s="251"/>
      <c r="C49" s="251"/>
      <c r="D49" s="252" t="str">
        <f ca="1">IF(DPAA保額="",IF(總檢核,IF(A48=分齡表最大顯示年齡,"***以下空白***",IF(A49&lt;=分齡表最大顯示年齡,'試算表 (0-15歲)'!B30,"")),""),IF(保費分齡表對應=1,IF(總檢核,IF(A48=分齡表最大顯示年齡,"***以下空白***",IF(A49&lt;=分齡表最大顯示年齡,'試算表 (0-15歲)'!B30,"")),""),""))</f>
        <v/>
      </c>
      <c r="E49" s="252"/>
      <c r="F49" s="252"/>
      <c r="G49" s="250" t="str">
        <f ca="1">IF(DPAA保額="",IF(總檢核,IF(A49="","",SUM('試算表 (0-15歲)'!C30:N30)),""),IF(保費分齡表對應=1,IF(總檢核,IF(A49="","",SUM('試算表 (0-15歲)'!C30:N30)),""),""))</f>
        <v/>
      </c>
      <c r="H49" s="250"/>
      <c r="I49" s="250"/>
      <c r="J49" s="250" t="str">
        <f t="shared" ca="1" si="6"/>
        <v/>
      </c>
      <c r="K49" s="250"/>
      <c r="L49" s="250"/>
      <c r="M49" s="250"/>
      <c r="N49" s="252" t="str">
        <f ca="1">IF(DPAA保額="",IF(總檢核,IF(A49="","",'試算表 (0-15歲)'!O30),""),IF(保費分齡表對應=1,IF(總檢核,IF(A49="","",'試算表 (0-15歲)'!O30),""),""))</f>
        <v/>
      </c>
      <c r="O49" s="252"/>
      <c r="P49" s="252"/>
      <c r="Q49" s="252" t="str">
        <f ca="1">IF(DPAA保額="",IF(總檢核,IF(A49="","",SUM('試算表 (0-15歲)'!P30:AA30)),""),IF(保費分齡表對應=1,IF(總檢核,IF(A49="","",SUM('試算表 (0-15歲)'!P30:AA30)),""),""))</f>
        <v/>
      </c>
      <c r="R49" s="252"/>
      <c r="S49" s="252"/>
      <c r="T49" s="250" t="str">
        <f t="shared" ca="1" si="7"/>
        <v/>
      </c>
      <c r="U49" s="250"/>
      <c r="V49" s="250"/>
      <c r="W49" s="250"/>
    </row>
    <row r="50" spans="1:23" hidden="1">
      <c r="A50" s="251" t="str">
        <f ca="1">IF(DPAA保額="",IF(總檢核,'試算表 (0-15歲)'!A31,""),IF(保費分齡表對應=1,IF(總檢核,'試算表 (0-15歲)'!A31,""),""))</f>
        <v/>
      </c>
      <c r="B50" s="251"/>
      <c r="C50" s="251"/>
      <c r="D50" s="252" t="str">
        <f ca="1">IF(DPAA保額="",IF(總檢核,IF(A49=分齡表最大顯示年齡,"***以下空白***",IF(A50&lt;=分齡表最大顯示年齡,'試算表 (0-15歲)'!B31,"")),""),IF(保費分齡表對應=1,IF(總檢核,IF(A49=分齡表最大顯示年齡,"***以下空白***",IF(A50&lt;=分齡表最大顯示年齡,'試算表 (0-15歲)'!B31,"")),""),""))</f>
        <v/>
      </c>
      <c r="E50" s="252"/>
      <c r="F50" s="252"/>
      <c r="G50" s="250" t="str">
        <f ca="1">IF(DPAA保額="",IF(總檢核,IF(A50="","",SUM('試算表 (0-15歲)'!C31:N31)),""),IF(保費分齡表對應=1,IF(總檢核,IF(A50="","",SUM('試算表 (0-15歲)'!C31:N31)),""),""))</f>
        <v/>
      </c>
      <c r="H50" s="250"/>
      <c r="I50" s="250"/>
      <c r="J50" s="250" t="str">
        <f t="shared" ca="1" si="6"/>
        <v/>
      </c>
      <c r="K50" s="250"/>
      <c r="L50" s="250"/>
      <c r="M50" s="250"/>
      <c r="N50" s="252" t="str">
        <f ca="1">IF(DPAA保額="",IF(總檢核,IF(A50="","",'試算表 (0-15歲)'!O31),""),IF(保費分齡表對應=1,IF(總檢核,IF(A50="","",'試算表 (0-15歲)'!O31),""),""))</f>
        <v/>
      </c>
      <c r="O50" s="252"/>
      <c r="P50" s="252"/>
      <c r="Q50" s="252" t="str">
        <f ca="1">IF(DPAA保額="",IF(總檢核,IF(A50="","",SUM('試算表 (0-15歲)'!P31:AA31)),""),IF(保費分齡表對應=1,IF(總檢核,IF(A50="","",SUM('試算表 (0-15歲)'!P31:AA31)),""),""))</f>
        <v/>
      </c>
      <c r="R50" s="252"/>
      <c r="S50" s="252"/>
      <c r="T50" s="250" t="str">
        <f t="shared" ca="1" si="7"/>
        <v/>
      </c>
      <c r="U50" s="250"/>
      <c r="V50" s="250"/>
      <c r="W50" s="250"/>
    </row>
    <row r="51" spans="1:23" hidden="1">
      <c r="A51" s="251" t="str">
        <f ca="1">IF(DPAA保額="",IF(總檢核,'試算表 (0-15歲)'!A32,""),IF(保費分齡表對應=1,IF(總檢核,'試算表 (0-15歲)'!A32,""),""))</f>
        <v/>
      </c>
      <c r="B51" s="251"/>
      <c r="C51" s="251"/>
      <c r="D51" s="252" t="str">
        <f ca="1">IF(DPAA保額="",IF(總檢核,IF(A50=分齡表最大顯示年齡,"***以下空白***",IF(A51&lt;=分齡表最大顯示年齡,'試算表 (0-15歲)'!B32,"")),""),IF(保費分齡表對應=1,IF(總檢核,IF(A50=分齡表最大顯示年齡,"***以下空白***",IF(A51&lt;=分齡表最大顯示年齡,'試算表 (0-15歲)'!B32,"")),""),""))</f>
        <v/>
      </c>
      <c r="E51" s="252"/>
      <c r="F51" s="252"/>
      <c r="G51" s="250" t="str">
        <f ca="1">IF(DPAA保額="",IF(總檢核,IF(A51="","",SUM('試算表 (0-15歲)'!C32:N32)),""),IF(保費分齡表對應=1,IF(總檢核,IF(A51="","",SUM('試算表 (0-15歲)'!C32:N32)),""),""))</f>
        <v/>
      </c>
      <c r="H51" s="250"/>
      <c r="I51" s="250"/>
      <c r="J51" s="250" t="str">
        <f t="shared" ca="1" si="6"/>
        <v/>
      </c>
      <c r="K51" s="250"/>
      <c r="L51" s="250"/>
      <c r="M51" s="250"/>
      <c r="N51" s="252" t="str">
        <f ca="1">IF(DPAA保額="",IF(總檢核,IF(A51="","",'試算表 (0-15歲)'!O32),""),IF(保費分齡表對應=1,IF(總檢核,IF(A51="","",'試算表 (0-15歲)'!O32),""),""))</f>
        <v/>
      </c>
      <c r="O51" s="252"/>
      <c r="P51" s="252"/>
      <c r="Q51" s="252" t="str">
        <f ca="1">IF(DPAA保額="",IF(總檢核,IF(A51="","",SUM('試算表 (0-15歲)'!P32:AA32)),""),IF(保費分齡表對應=1,IF(總檢核,IF(A51="","",SUM('試算表 (0-15歲)'!P32:AA32)),""),""))</f>
        <v/>
      </c>
      <c r="R51" s="252"/>
      <c r="S51" s="252"/>
      <c r="T51" s="250" t="str">
        <f t="shared" ca="1" si="7"/>
        <v/>
      </c>
      <c r="U51" s="250"/>
      <c r="V51" s="250"/>
      <c r="W51" s="250"/>
    </row>
    <row r="52" spans="1:23" hidden="1">
      <c r="A52" s="251" t="str">
        <f ca="1">IF(DPAA保額="",IF(總檢核,'試算表 (0-15歲)'!A33,""),IF(保費分齡表對應=1,IF(總檢核,'試算表 (0-15歲)'!A33,""),""))</f>
        <v/>
      </c>
      <c r="B52" s="251"/>
      <c r="C52" s="251"/>
      <c r="D52" s="252" t="str">
        <f ca="1">IF(DPAA保額="",IF(總檢核,IF(A51=分齡表最大顯示年齡,"***以下空白***",IF(A52&lt;=分齡表最大顯示年齡,'試算表 (0-15歲)'!B33,"")),""),IF(保費分齡表對應=1,IF(總檢核,IF(A51=分齡表最大顯示年齡,"***以下空白***",IF(A52&lt;=分齡表最大顯示年齡,'試算表 (0-15歲)'!B33,"")),""),""))</f>
        <v/>
      </c>
      <c r="E52" s="252"/>
      <c r="F52" s="252"/>
      <c r="G52" s="250" t="str">
        <f ca="1">IF(DPAA保額="",IF(總檢核,IF(A52="","",SUM('試算表 (0-15歲)'!C33:N33)),""),IF(保費分齡表對應=1,IF(總檢核,IF(A52="","",SUM('試算表 (0-15歲)'!C33:N33)),""),""))</f>
        <v/>
      </c>
      <c r="H52" s="250"/>
      <c r="I52" s="250"/>
      <c r="J52" s="250" t="str">
        <f t="shared" ca="1" si="6"/>
        <v/>
      </c>
      <c r="K52" s="250"/>
      <c r="L52" s="250"/>
      <c r="M52" s="250"/>
      <c r="N52" s="252" t="str">
        <f ca="1">IF(DPAA保額="",IF(總檢核,IF(A52="","",'試算表 (0-15歲)'!O33),""),IF(保費分齡表對應=1,IF(總檢核,IF(A52="","",'試算表 (0-15歲)'!O33),""),""))</f>
        <v/>
      </c>
      <c r="O52" s="252"/>
      <c r="P52" s="252"/>
      <c r="Q52" s="252" t="str">
        <f ca="1">IF(DPAA保額="",IF(總檢核,IF(A52="","",SUM('試算表 (0-15歲)'!P33:AA33)),""),IF(保費分齡表對應=1,IF(總檢核,IF(A52="","",SUM('試算表 (0-15歲)'!P33:AA33)),""),""))</f>
        <v/>
      </c>
      <c r="R52" s="252"/>
      <c r="S52" s="252"/>
      <c r="T52" s="250" t="str">
        <f t="shared" ca="1" si="7"/>
        <v/>
      </c>
      <c r="U52" s="250"/>
      <c r="V52" s="250"/>
      <c r="W52" s="250"/>
    </row>
    <row r="53" spans="1:23" hidden="1">
      <c r="A53" s="254" t="str">
        <f ca="1">IF(DPAA保額="",IF(總檢核,'試算表 (0-15歲)'!A34,""),IF(保費分齡表對應=1,IF(總檢核,'試算表 (0-15歲)'!A34,""),""))</f>
        <v/>
      </c>
      <c r="B53" s="254"/>
      <c r="C53" s="254"/>
      <c r="D53" s="255" t="str">
        <f ca="1">IF(DPAA保額="",IF(總檢核,IF(A52=分齡表最大顯示年齡,"***以下空白***",IF(A53&lt;=分齡表最大顯示年齡,'試算表 (0-15歲)'!B34,"")),""),IF(保費分齡表對應=1,IF(總檢核,IF(A52=分齡表最大顯示年齡,"***以下空白***",IF(A53&lt;=分齡表最大顯示年齡,'試算表 (0-15歲)'!B34,"")),""),""))</f>
        <v/>
      </c>
      <c r="E53" s="255"/>
      <c r="F53" s="255"/>
      <c r="G53" s="253" t="str">
        <f ca="1">IF(DPAA保額="",IF(總檢核,IF(A53="","",SUM('試算表 (0-15歲)'!C34:N34)),""),IF(保費分齡表對應=1,IF(總檢核,IF(A53="","",SUM('試算表 (0-15歲)'!C34:N34)),""),""))</f>
        <v/>
      </c>
      <c r="H53" s="253"/>
      <c r="I53" s="253"/>
      <c r="J53" s="253" t="str">
        <f t="shared" ca="1" si="6"/>
        <v/>
      </c>
      <c r="K53" s="253"/>
      <c r="L53" s="253"/>
      <c r="M53" s="253"/>
      <c r="N53" s="255" t="str">
        <f ca="1">IF(DPAA保額="",IF(總檢核,IF(A53="","",'試算表 (0-15歲)'!O34),""),IF(保費分齡表對應=1,IF(總檢核,IF(A53="","",'試算表 (0-15歲)'!O34),""),""))</f>
        <v/>
      </c>
      <c r="O53" s="255"/>
      <c r="P53" s="255"/>
      <c r="Q53" s="255" t="str">
        <f ca="1">IF(DPAA保額="",IF(總檢核,IF(A53="","",SUM('試算表 (0-15歲)'!P34:AA34)),""),IF(保費分齡表對應=1,IF(總檢核,IF(A53="","",SUM('試算表 (0-15歲)'!P34:AA34)),""),""))</f>
        <v/>
      </c>
      <c r="R53" s="255"/>
      <c r="S53" s="255"/>
      <c r="T53" s="253" t="str">
        <f t="shared" ca="1" si="7"/>
        <v/>
      </c>
      <c r="U53" s="253"/>
      <c r="V53" s="253"/>
      <c r="W53" s="253"/>
    </row>
    <row r="54" spans="1:23" hidden="1">
      <c r="A54" s="251" t="str">
        <f ca="1">IF(DPAA保額="",IF(總檢核,'試算表 (0-15歲)'!A35,""),IF(保費分齡表對應=1,IF(總檢核,'試算表 (0-15歲)'!A35,""),""))</f>
        <v/>
      </c>
      <c r="B54" s="251"/>
      <c r="C54" s="251"/>
      <c r="D54" s="252" t="str">
        <f ca="1">IF(DPAA保額="",IF(總檢核,IF(A53=分齡表最大顯示年齡,"***以下空白***",IF(A54&lt;=分齡表最大顯示年齡,'試算表 (0-15歲)'!B35,"")),""),IF(保費分齡表對應=1,IF(總檢核,IF(A53=分齡表最大顯示年齡,"***以下空白***",IF(A54&lt;=分齡表最大顯示年齡,'試算表 (0-15歲)'!B35,"")),""),""))</f>
        <v/>
      </c>
      <c r="E54" s="252"/>
      <c r="F54" s="252"/>
      <c r="G54" s="250" t="str">
        <f ca="1">IF(DPAA保額="",IF(總檢核,IF(A54="","",SUM('試算表 (0-15歲)'!C35:N35)),""),IF(保費分齡表對應=1,IF(總檢核,IF(A54="","",SUM('試算表 (0-15歲)'!C35:N35)),""),""))</f>
        <v/>
      </c>
      <c r="H54" s="250"/>
      <c r="I54" s="250"/>
      <c r="J54" s="250" t="str">
        <f t="shared" ca="1" si="6"/>
        <v/>
      </c>
      <c r="K54" s="250"/>
      <c r="L54" s="250"/>
      <c r="M54" s="250"/>
      <c r="N54" s="252" t="str">
        <f ca="1">IF(DPAA保額="",IF(總檢核,IF(A54="","",'試算表 (0-15歲)'!O35),""),IF(保費分齡表對應=1,IF(總檢核,IF(A54="","",'試算表 (0-15歲)'!O35),""),""))</f>
        <v/>
      </c>
      <c r="O54" s="252"/>
      <c r="P54" s="252"/>
      <c r="Q54" s="252" t="str">
        <f ca="1">IF(DPAA保額="",IF(總檢核,IF(A54="","",SUM('試算表 (0-15歲)'!P35:AA35)),""),IF(保費分齡表對應=1,IF(總檢核,IF(A54="","",SUM('試算表 (0-15歲)'!P35:AA35)),""),""))</f>
        <v/>
      </c>
      <c r="R54" s="252"/>
      <c r="S54" s="252"/>
      <c r="T54" s="250" t="str">
        <f t="shared" ca="1" si="7"/>
        <v/>
      </c>
      <c r="U54" s="250"/>
      <c r="V54" s="250"/>
      <c r="W54" s="250"/>
    </row>
    <row r="55" spans="1:23" hidden="1">
      <c r="A55" s="251" t="str">
        <f ca="1">IF(DPAA保額="",IF(總檢核,'試算表 (0-15歲)'!A36,""),IF(保費分齡表對應=1,IF(總檢核,'試算表 (0-15歲)'!A36,""),""))</f>
        <v/>
      </c>
      <c r="B55" s="251"/>
      <c r="C55" s="251"/>
      <c r="D55" s="252" t="str">
        <f ca="1">IF(DPAA保額="",IF(總檢核,IF(A54=分齡表最大顯示年齡,"***以下空白***",IF(A55&lt;=分齡表最大顯示年齡,'試算表 (0-15歲)'!B36,"")),""),IF(保費分齡表對應=1,IF(總檢核,IF(A54=分齡表最大顯示年齡,"***以下空白***",IF(A55&lt;=分齡表最大顯示年齡,'試算表 (0-15歲)'!B36,"")),""),""))</f>
        <v/>
      </c>
      <c r="E55" s="252"/>
      <c r="F55" s="252"/>
      <c r="G55" s="250" t="str">
        <f ca="1">IF(DPAA保額="",IF(總檢核,IF(A55="","",SUM('試算表 (0-15歲)'!C36:N36)),""),IF(保費分齡表對應=1,IF(總檢核,IF(A55="","",SUM('試算表 (0-15歲)'!C36:N36)),""),""))</f>
        <v/>
      </c>
      <c r="H55" s="250"/>
      <c r="I55" s="250"/>
      <c r="J55" s="250" t="str">
        <f t="shared" ref="J55:J86" ca="1" si="8">IF(DPAA保額="",IF(總檢核,IF(A55="","",D55+G55),""),IF(保費分齡表對應=1,IF(總檢核,IF(A55="","",D55+G55),""),""))</f>
        <v/>
      </c>
      <c r="K55" s="250"/>
      <c r="L55" s="250"/>
      <c r="M55" s="250"/>
      <c r="N55" s="252" t="str">
        <f ca="1">IF(DPAA保額="",IF(總檢核,IF(A55="","",'試算表 (0-15歲)'!O36),""),IF(保費分齡表對應=1,IF(總檢核,IF(A55="","",'試算表 (0-15歲)'!O36),""),""))</f>
        <v/>
      </c>
      <c r="O55" s="252"/>
      <c r="P55" s="252"/>
      <c r="Q55" s="252" t="str">
        <f ca="1">IF(DPAA保額="",IF(總檢核,IF(A55="","",SUM('試算表 (0-15歲)'!P36:AA36)),""),IF(保費分齡表對應=1,IF(總檢核,IF(A55="","",SUM('試算表 (0-15歲)'!P36:AA36)),""),""))</f>
        <v/>
      </c>
      <c r="R55" s="252"/>
      <c r="S55" s="252"/>
      <c r="T55" s="250" t="str">
        <f t="shared" ref="T55:T86" ca="1" si="9">IF(DPAA保額="",IF(總檢核,IF(A55="","",N55+Q55),""),IF(保費分齡表對應=1,IF(總檢核,IF(A55="","",N55+Q55),""),""))</f>
        <v/>
      </c>
      <c r="U55" s="250"/>
      <c r="V55" s="250"/>
      <c r="W55" s="250"/>
    </row>
    <row r="56" spans="1:23" hidden="1">
      <c r="A56" s="251" t="str">
        <f ca="1">IF(DPAA保額="",IF(總檢核,'試算表 (0-15歲)'!A37,""),IF(保費分齡表對應=1,IF(總檢核,'試算表 (0-15歲)'!A37,""),""))</f>
        <v/>
      </c>
      <c r="B56" s="251"/>
      <c r="C56" s="251"/>
      <c r="D56" s="252" t="str">
        <f ca="1">IF(DPAA保額="",IF(總檢核,IF(A55=分齡表最大顯示年齡,"***以下空白***",IF(A56&lt;=分齡表最大顯示年齡,'試算表 (0-15歲)'!B37,"")),""),IF(保費分齡表對應=1,IF(總檢核,IF(A55=分齡表最大顯示年齡,"***以下空白***",IF(A56&lt;=分齡表最大顯示年齡,'試算表 (0-15歲)'!B37,"")),""),""))</f>
        <v/>
      </c>
      <c r="E56" s="252"/>
      <c r="F56" s="252"/>
      <c r="G56" s="250" t="str">
        <f ca="1">IF(DPAA保額="",IF(總檢核,IF(A56="","",SUM('試算表 (0-15歲)'!C37:N37)),""),IF(保費分齡表對應=1,IF(總檢核,IF(A56="","",SUM('試算表 (0-15歲)'!C37:N37)),""),""))</f>
        <v/>
      </c>
      <c r="H56" s="250"/>
      <c r="I56" s="250"/>
      <c r="J56" s="250" t="str">
        <f t="shared" ca="1" si="8"/>
        <v/>
      </c>
      <c r="K56" s="250"/>
      <c r="L56" s="250"/>
      <c r="M56" s="250"/>
      <c r="N56" s="252" t="str">
        <f ca="1">IF(DPAA保額="",IF(總檢核,IF(A56="","",'試算表 (0-15歲)'!O37),""),IF(保費分齡表對應=1,IF(總檢核,IF(A56="","",'試算表 (0-15歲)'!O37),""),""))</f>
        <v/>
      </c>
      <c r="O56" s="252"/>
      <c r="P56" s="252"/>
      <c r="Q56" s="252" t="str">
        <f ca="1">IF(DPAA保額="",IF(總檢核,IF(A56="","",SUM('試算表 (0-15歲)'!P37:AA37)),""),IF(保費分齡表對應=1,IF(總檢核,IF(A56="","",SUM('試算表 (0-15歲)'!P37:AA37)),""),""))</f>
        <v/>
      </c>
      <c r="R56" s="252"/>
      <c r="S56" s="252"/>
      <c r="T56" s="250" t="str">
        <f t="shared" ca="1" si="9"/>
        <v/>
      </c>
      <c r="U56" s="250"/>
      <c r="V56" s="250"/>
      <c r="W56" s="250"/>
    </row>
    <row r="57" spans="1:23" hidden="1">
      <c r="A57" s="251" t="str">
        <f ca="1">IF(DPAA保額="",IF(總檢核,'試算表 (0-15歲)'!A38,""),IF(保費分齡表對應=1,IF(總檢核,'試算表 (0-15歲)'!A38,""),""))</f>
        <v/>
      </c>
      <c r="B57" s="251"/>
      <c r="C57" s="251"/>
      <c r="D57" s="252" t="str">
        <f ca="1">IF(DPAA保額="",IF(總檢核,IF(A56=分齡表最大顯示年齡,"***以下空白***",IF(A57&lt;=分齡表最大顯示年齡,'試算表 (0-15歲)'!B38,"")),""),IF(保費分齡表對應=1,IF(總檢核,IF(A56=分齡表最大顯示年齡,"***以下空白***",IF(A57&lt;=分齡表最大顯示年齡,'試算表 (0-15歲)'!B38,"")),""),""))</f>
        <v/>
      </c>
      <c r="E57" s="252"/>
      <c r="F57" s="252"/>
      <c r="G57" s="250" t="str">
        <f ca="1">IF(DPAA保額="",IF(總檢核,IF(A57="","",SUM('試算表 (0-15歲)'!C38:N38)),""),IF(保費分齡表對應=1,IF(總檢核,IF(A57="","",SUM('試算表 (0-15歲)'!C38:N38)),""),""))</f>
        <v/>
      </c>
      <c r="H57" s="250"/>
      <c r="I57" s="250"/>
      <c r="J57" s="250" t="str">
        <f t="shared" ca="1" si="8"/>
        <v/>
      </c>
      <c r="K57" s="250"/>
      <c r="L57" s="250"/>
      <c r="M57" s="250"/>
      <c r="N57" s="252" t="str">
        <f ca="1">IF(DPAA保額="",IF(總檢核,IF(A57="","",'試算表 (0-15歲)'!O38),""),IF(保費分齡表對應=1,IF(總檢核,IF(A57="","",'試算表 (0-15歲)'!O38),""),""))</f>
        <v/>
      </c>
      <c r="O57" s="252"/>
      <c r="P57" s="252"/>
      <c r="Q57" s="252" t="str">
        <f ca="1">IF(DPAA保額="",IF(總檢核,IF(A57="","",SUM('試算表 (0-15歲)'!P38:AA38)),""),IF(保費分齡表對應=1,IF(總檢核,IF(A57="","",SUM('試算表 (0-15歲)'!P38:AA38)),""),""))</f>
        <v/>
      </c>
      <c r="R57" s="252"/>
      <c r="S57" s="252"/>
      <c r="T57" s="250" t="str">
        <f t="shared" ca="1" si="9"/>
        <v/>
      </c>
      <c r="U57" s="250"/>
      <c r="V57" s="250"/>
      <c r="W57" s="250"/>
    </row>
    <row r="58" spans="1:23" hidden="1">
      <c r="A58" s="254" t="str">
        <f ca="1">IF(DPAA保額="",IF(總檢核,'試算表 (0-15歲)'!A39,""),IF(保費分齡表對應=1,IF(總檢核,'試算表 (0-15歲)'!A39,""),""))</f>
        <v/>
      </c>
      <c r="B58" s="254"/>
      <c r="C58" s="254"/>
      <c r="D58" s="255" t="str">
        <f ca="1">IF(DPAA保額="",IF(總檢核,IF(A57=分齡表最大顯示年齡,"***以下空白***",IF(A58&lt;=分齡表最大顯示年齡,'試算表 (0-15歲)'!B39,"")),""),IF(保費分齡表對應=1,IF(總檢核,IF(A57=分齡表最大顯示年齡,"***以下空白***",IF(A58&lt;=分齡表最大顯示年齡,'試算表 (0-15歲)'!B39,"")),""),""))</f>
        <v/>
      </c>
      <c r="E58" s="255"/>
      <c r="F58" s="255"/>
      <c r="G58" s="253" t="str">
        <f ca="1">IF(DPAA保額="",IF(總檢核,IF(A58="","",SUM('試算表 (0-15歲)'!C39:N39)),""),IF(保費分齡表對應=1,IF(總檢核,IF(A58="","",SUM('試算表 (0-15歲)'!C39:N39)),""),""))</f>
        <v/>
      </c>
      <c r="H58" s="253"/>
      <c r="I58" s="253"/>
      <c r="J58" s="253" t="str">
        <f t="shared" ca="1" si="8"/>
        <v/>
      </c>
      <c r="K58" s="253"/>
      <c r="L58" s="253"/>
      <c r="M58" s="253"/>
      <c r="N58" s="255" t="str">
        <f ca="1">IF(DPAA保額="",IF(總檢核,IF(A58="","",'試算表 (0-15歲)'!O39),""),IF(保費分齡表對應=1,IF(總檢核,IF(A58="","",'試算表 (0-15歲)'!O39),""),""))</f>
        <v/>
      </c>
      <c r="O58" s="255"/>
      <c r="P58" s="255"/>
      <c r="Q58" s="255" t="str">
        <f ca="1">IF(DPAA保額="",IF(總檢核,IF(A58="","",SUM('試算表 (0-15歲)'!P39:AA39)),""),IF(保費分齡表對應=1,IF(總檢核,IF(A58="","",SUM('試算表 (0-15歲)'!P39:AA39)),""),""))</f>
        <v/>
      </c>
      <c r="R58" s="255"/>
      <c r="S58" s="255"/>
      <c r="T58" s="253" t="str">
        <f t="shared" ca="1" si="9"/>
        <v/>
      </c>
      <c r="U58" s="253"/>
      <c r="V58" s="253"/>
      <c r="W58" s="253"/>
    </row>
    <row r="59" spans="1:23" hidden="1">
      <c r="A59" s="251" t="str">
        <f ca="1">IF(DPAA保額="",IF(總檢核,'試算表 (0-15歲)'!A40,""),IF(保費分齡表對應=1,IF(總檢核,'試算表 (0-15歲)'!A40,""),""))</f>
        <v/>
      </c>
      <c r="B59" s="251"/>
      <c r="C59" s="251"/>
      <c r="D59" s="252" t="str">
        <f ca="1">IF(DPAA保額="",IF(總檢核,IF(A58=分齡表最大顯示年齡,"***以下空白***",IF(A59&lt;=分齡表最大顯示年齡,'試算表 (0-15歲)'!B40,"")),""),IF(保費分齡表對應=1,IF(總檢核,IF(A58=分齡表最大顯示年齡,"***以下空白***",IF(A59&lt;=分齡表最大顯示年齡,'試算表 (0-15歲)'!B40,"")),""),""))</f>
        <v/>
      </c>
      <c r="E59" s="252"/>
      <c r="F59" s="252"/>
      <c r="G59" s="250" t="str">
        <f ca="1">IF(DPAA保額="",IF(總檢核,IF(A59="","",SUM('試算表 (0-15歲)'!C40:N40)),""),IF(保費分齡表對應=1,IF(總檢核,IF(A59="","",SUM('試算表 (0-15歲)'!C40:N40)),""),""))</f>
        <v/>
      </c>
      <c r="H59" s="250"/>
      <c r="I59" s="250"/>
      <c r="J59" s="250" t="str">
        <f t="shared" ca="1" si="8"/>
        <v/>
      </c>
      <c r="K59" s="250"/>
      <c r="L59" s="250"/>
      <c r="M59" s="250"/>
      <c r="N59" s="252" t="str">
        <f ca="1">IF(DPAA保額="",IF(總檢核,IF(A59="","",'試算表 (0-15歲)'!O40),""),IF(保費分齡表對應=1,IF(總檢核,IF(A59="","",'試算表 (0-15歲)'!O40),""),""))</f>
        <v/>
      </c>
      <c r="O59" s="252"/>
      <c r="P59" s="252"/>
      <c r="Q59" s="252" t="str">
        <f ca="1">IF(DPAA保額="",IF(總檢核,IF(A59="","",SUM('試算表 (0-15歲)'!P40:AA40)),""),IF(保費分齡表對應=1,IF(總檢核,IF(A59="","",SUM('試算表 (0-15歲)'!P40:AA40)),""),""))</f>
        <v/>
      </c>
      <c r="R59" s="252"/>
      <c r="S59" s="252"/>
      <c r="T59" s="250" t="str">
        <f t="shared" ca="1" si="9"/>
        <v/>
      </c>
      <c r="U59" s="250"/>
      <c r="V59" s="250"/>
      <c r="W59" s="250"/>
    </row>
    <row r="60" spans="1:23" hidden="1">
      <c r="A60" s="251" t="str">
        <f ca="1">IF(DPAA保額="",IF(總檢核,'試算表 (0-15歲)'!A41,""),IF(保費分齡表對應=1,IF(總檢核,'試算表 (0-15歲)'!A41,""),""))</f>
        <v/>
      </c>
      <c r="B60" s="251"/>
      <c r="C60" s="251"/>
      <c r="D60" s="252" t="str">
        <f ca="1">IF(DPAA保額="",IF(總檢核,IF(A59=分齡表最大顯示年齡,"***以下空白***",IF(A60&lt;=分齡表最大顯示年齡,'試算表 (0-15歲)'!B41,"")),""),IF(保費分齡表對應=1,IF(總檢核,IF(A59=分齡表最大顯示年齡,"***以下空白***",IF(A60&lt;=分齡表最大顯示年齡,'試算表 (0-15歲)'!B41,"")),""),""))</f>
        <v/>
      </c>
      <c r="E60" s="252"/>
      <c r="F60" s="252"/>
      <c r="G60" s="250" t="str">
        <f ca="1">IF(DPAA保額="",IF(總檢核,IF(A60="","",SUM('試算表 (0-15歲)'!C41:N41)),""),IF(保費分齡表對應=1,IF(總檢核,IF(A60="","",SUM('試算表 (0-15歲)'!C41:N41)),""),""))</f>
        <v/>
      </c>
      <c r="H60" s="250"/>
      <c r="I60" s="250"/>
      <c r="J60" s="250" t="str">
        <f t="shared" ca="1" si="8"/>
        <v/>
      </c>
      <c r="K60" s="250"/>
      <c r="L60" s="250"/>
      <c r="M60" s="250"/>
      <c r="N60" s="252" t="str">
        <f ca="1">IF(DPAA保額="",IF(總檢核,IF(A60="","",'試算表 (0-15歲)'!O41),""),IF(保費分齡表對應=1,IF(總檢核,IF(A60="","",'試算表 (0-15歲)'!O41),""),""))</f>
        <v/>
      </c>
      <c r="O60" s="252"/>
      <c r="P60" s="252"/>
      <c r="Q60" s="252" t="str">
        <f ca="1">IF(DPAA保額="",IF(總檢核,IF(A60="","",SUM('試算表 (0-15歲)'!P41:AA41)),""),IF(保費分齡表對應=1,IF(總檢核,IF(A60="","",SUM('試算表 (0-15歲)'!P41:AA41)),""),""))</f>
        <v/>
      </c>
      <c r="R60" s="252"/>
      <c r="S60" s="252"/>
      <c r="T60" s="250" t="str">
        <f t="shared" ca="1" si="9"/>
        <v/>
      </c>
      <c r="U60" s="250"/>
      <c r="V60" s="250"/>
      <c r="W60" s="250"/>
    </row>
    <row r="61" spans="1:23" hidden="1">
      <c r="A61" s="251" t="str">
        <f ca="1">IF(DPAA保額="",IF(總檢核,'試算表 (0-15歲)'!A42,""),IF(保費分齡表對應=1,IF(總檢核,'試算表 (0-15歲)'!A42,""),""))</f>
        <v/>
      </c>
      <c r="B61" s="251"/>
      <c r="C61" s="251"/>
      <c r="D61" s="252" t="str">
        <f ca="1">IF(DPAA保額="",IF(總檢核,IF(A60=分齡表最大顯示年齡,"***以下空白***",IF(A61&lt;=分齡表最大顯示年齡,'試算表 (0-15歲)'!B42,"")),""),IF(保費分齡表對應=1,IF(總檢核,IF(A60=分齡表最大顯示年齡,"***以下空白***",IF(A61&lt;=分齡表最大顯示年齡,'試算表 (0-15歲)'!B42,"")),""),""))</f>
        <v/>
      </c>
      <c r="E61" s="252"/>
      <c r="F61" s="252"/>
      <c r="G61" s="250" t="str">
        <f ca="1">IF(DPAA保額="",IF(總檢核,IF(A61="","",SUM('試算表 (0-15歲)'!C42:N42)),""),IF(保費分齡表對應=1,IF(總檢核,IF(A61="","",SUM('試算表 (0-15歲)'!C42:N42)),""),""))</f>
        <v/>
      </c>
      <c r="H61" s="250"/>
      <c r="I61" s="250"/>
      <c r="J61" s="250" t="str">
        <f t="shared" ca="1" si="8"/>
        <v/>
      </c>
      <c r="K61" s="250"/>
      <c r="L61" s="250"/>
      <c r="M61" s="250"/>
      <c r="N61" s="252" t="str">
        <f ca="1">IF(DPAA保額="",IF(總檢核,IF(A61="","",'試算表 (0-15歲)'!O42),""),IF(保費分齡表對應=1,IF(總檢核,IF(A61="","",'試算表 (0-15歲)'!O42),""),""))</f>
        <v/>
      </c>
      <c r="O61" s="252"/>
      <c r="P61" s="252"/>
      <c r="Q61" s="252" t="str">
        <f ca="1">IF(DPAA保額="",IF(總檢核,IF(A61="","",SUM('試算表 (0-15歲)'!P42:AA42)),""),IF(保費分齡表對應=1,IF(總檢核,IF(A61="","",SUM('試算表 (0-15歲)'!P42:AA42)),""),""))</f>
        <v/>
      </c>
      <c r="R61" s="252"/>
      <c r="S61" s="252"/>
      <c r="T61" s="250" t="str">
        <f t="shared" ca="1" si="9"/>
        <v/>
      </c>
      <c r="U61" s="250"/>
      <c r="V61" s="250"/>
      <c r="W61" s="250"/>
    </row>
    <row r="62" spans="1:23" hidden="1">
      <c r="A62" s="251" t="str">
        <f ca="1">IF(DPAA保額="",IF(總檢核,'試算表 (0-15歲)'!A43,""),IF(保費分齡表對應=1,IF(總檢核,'試算表 (0-15歲)'!A43,""),""))</f>
        <v/>
      </c>
      <c r="B62" s="251"/>
      <c r="C62" s="251"/>
      <c r="D62" s="252" t="str">
        <f ca="1">IF(DPAA保額="",IF(總檢核,IF(A61=分齡表最大顯示年齡,"***以下空白***",IF(A62&lt;=分齡表最大顯示年齡,'試算表 (0-15歲)'!B43,"")),""),IF(保費分齡表對應=1,IF(總檢核,IF(A61=分齡表最大顯示年齡,"***以下空白***",IF(A62&lt;=分齡表最大顯示年齡,'試算表 (0-15歲)'!B43,"")),""),""))</f>
        <v/>
      </c>
      <c r="E62" s="252"/>
      <c r="F62" s="252"/>
      <c r="G62" s="250" t="str">
        <f ca="1">IF(DPAA保額="",IF(總檢核,IF(A62="","",SUM('試算表 (0-15歲)'!C43:N43)),""),IF(保費分齡表對應=1,IF(總檢核,IF(A62="","",SUM('試算表 (0-15歲)'!C43:N43)),""),""))</f>
        <v/>
      </c>
      <c r="H62" s="250"/>
      <c r="I62" s="250"/>
      <c r="J62" s="250" t="str">
        <f t="shared" ca="1" si="8"/>
        <v/>
      </c>
      <c r="K62" s="250"/>
      <c r="L62" s="250"/>
      <c r="M62" s="250"/>
      <c r="N62" s="252" t="str">
        <f ca="1">IF(DPAA保額="",IF(總檢核,IF(A62="","",'試算表 (0-15歲)'!O43),""),IF(保費分齡表對應=1,IF(總檢核,IF(A62="","",'試算表 (0-15歲)'!O43),""),""))</f>
        <v/>
      </c>
      <c r="O62" s="252"/>
      <c r="P62" s="252"/>
      <c r="Q62" s="252" t="str">
        <f ca="1">IF(DPAA保額="",IF(總檢核,IF(A62="","",SUM('試算表 (0-15歲)'!P43:AA43)),""),IF(保費分齡表對應=1,IF(總檢核,IF(A62="","",SUM('試算表 (0-15歲)'!P43:AA43)),""),""))</f>
        <v/>
      </c>
      <c r="R62" s="252"/>
      <c r="S62" s="252"/>
      <c r="T62" s="250" t="str">
        <f t="shared" ca="1" si="9"/>
        <v/>
      </c>
      <c r="U62" s="250"/>
      <c r="V62" s="250"/>
      <c r="W62" s="250"/>
    </row>
    <row r="63" spans="1:23" hidden="1">
      <c r="A63" s="254" t="str">
        <f ca="1">IF(DPAA保額="",IF(總檢核,'試算表 (0-15歲)'!A44,""),IF(保費分齡表對應=1,IF(總檢核,'試算表 (0-15歲)'!A44,""),""))</f>
        <v/>
      </c>
      <c r="B63" s="254"/>
      <c r="C63" s="254"/>
      <c r="D63" s="255" t="str">
        <f ca="1">IF(DPAA保額="",IF(總檢核,IF(A62=分齡表最大顯示年齡,"***以下空白***",IF(A63&lt;=分齡表最大顯示年齡,'試算表 (0-15歲)'!B44,"")),""),IF(保費分齡表對應=1,IF(總檢核,IF(A62=分齡表最大顯示年齡,"***以下空白***",IF(A63&lt;=分齡表最大顯示年齡,'試算表 (0-15歲)'!B44,"")),""),""))</f>
        <v/>
      </c>
      <c r="E63" s="255"/>
      <c r="F63" s="255"/>
      <c r="G63" s="253" t="str">
        <f ca="1">IF(DPAA保額="",IF(總檢核,IF(A63="","",SUM('試算表 (0-15歲)'!C44:N44)),""),IF(保費分齡表對應=1,IF(總檢核,IF(A63="","",SUM('試算表 (0-15歲)'!C44:N44)),""),""))</f>
        <v/>
      </c>
      <c r="H63" s="253"/>
      <c r="I63" s="253"/>
      <c r="J63" s="253" t="str">
        <f t="shared" ca="1" si="8"/>
        <v/>
      </c>
      <c r="K63" s="253"/>
      <c r="L63" s="253"/>
      <c r="M63" s="253"/>
      <c r="N63" s="255" t="str">
        <f ca="1">IF(DPAA保額="",IF(總檢核,IF(A63="","",'試算表 (0-15歲)'!O44),""),IF(保費分齡表對應=1,IF(總檢核,IF(A63="","",'試算表 (0-15歲)'!O44),""),""))</f>
        <v/>
      </c>
      <c r="O63" s="255"/>
      <c r="P63" s="255"/>
      <c r="Q63" s="255" t="str">
        <f ca="1">IF(DPAA保額="",IF(總檢核,IF(A63="","",SUM('試算表 (0-15歲)'!P44:AA44)),""),IF(保費分齡表對應=1,IF(總檢核,IF(A63="","",SUM('試算表 (0-15歲)'!P44:AA44)),""),""))</f>
        <v/>
      </c>
      <c r="R63" s="255"/>
      <c r="S63" s="255"/>
      <c r="T63" s="253" t="str">
        <f t="shared" ca="1" si="9"/>
        <v/>
      </c>
      <c r="U63" s="253"/>
      <c r="V63" s="253"/>
      <c r="W63" s="253"/>
    </row>
    <row r="64" spans="1:23" hidden="1">
      <c r="A64" s="251" t="str">
        <f ca="1">IF(DPAA保額="",IF(總檢核,'試算表 (0-15歲)'!A45,""),IF(保費分齡表對應=1,IF(總檢核,'試算表 (0-15歲)'!A45,""),""))</f>
        <v/>
      </c>
      <c r="B64" s="251"/>
      <c r="C64" s="251"/>
      <c r="D64" s="252" t="str">
        <f ca="1">IF(DPAA保額="",IF(總檢核,IF(A63=分齡表最大顯示年齡,"***以下空白***",IF(A64&lt;=分齡表最大顯示年齡,'試算表 (0-15歲)'!B45,"")),""),IF(保費分齡表對應=1,IF(總檢核,IF(A63=分齡表最大顯示年齡,"***以下空白***",IF(A64&lt;=分齡表最大顯示年齡,'試算表 (0-15歲)'!B45,"")),""),""))</f>
        <v/>
      </c>
      <c r="E64" s="252"/>
      <c r="F64" s="252"/>
      <c r="G64" s="250" t="str">
        <f ca="1">IF(DPAA保額="",IF(總檢核,IF(A64="","",SUM('試算表 (0-15歲)'!C45:N45)),""),IF(保費分齡表對應=1,IF(總檢核,IF(A64="","",SUM('試算表 (0-15歲)'!C45:N45)),""),""))</f>
        <v/>
      </c>
      <c r="H64" s="250"/>
      <c r="I64" s="250"/>
      <c r="J64" s="250" t="str">
        <f t="shared" ca="1" si="8"/>
        <v/>
      </c>
      <c r="K64" s="250"/>
      <c r="L64" s="250"/>
      <c r="M64" s="250"/>
      <c r="N64" s="252" t="str">
        <f ca="1">IF(DPAA保額="",IF(總檢核,IF(A64="","",'試算表 (0-15歲)'!O45),""),IF(保費分齡表對應=1,IF(總檢核,IF(A64="","",'試算表 (0-15歲)'!O45),""),""))</f>
        <v/>
      </c>
      <c r="O64" s="252"/>
      <c r="P64" s="252"/>
      <c r="Q64" s="252" t="str">
        <f ca="1">IF(DPAA保額="",IF(總檢核,IF(A64="","",SUM('試算表 (0-15歲)'!P45:AA45)),""),IF(保費分齡表對應=1,IF(總檢核,IF(A64="","",SUM('試算表 (0-15歲)'!P45:AA45)),""),""))</f>
        <v/>
      </c>
      <c r="R64" s="252"/>
      <c r="S64" s="252"/>
      <c r="T64" s="250" t="str">
        <f t="shared" ca="1" si="9"/>
        <v/>
      </c>
      <c r="U64" s="250"/>
      <c r="V64" s="250"/>
      <c r="W64" s="250"/>
    </row>
    <row r="65" spans="1:23" hidden="1">
      <c r="A65" s="251" t="str">
        <f ca="1">IF(DPAA保額="",IF(總檢核,'試算表 (0-15歲)'!A46,""),IF(保費分齡表對應=1,IF(總檢核,'試算表 (0-15歲)'!A46,""),""))</f>
        <v/>
      </c>
      <c r="B65" s="251"/>
      <c r="C65" s="251"/>
      <c r="D65" s="252" t="str">
        <f ca="1">IF(DPAA保額="",IF(總檢核,IF(A64=分齡表最大顯示年齡,"***以下空白***",IF(A65&lt;=分齡表最大顯示年齡,'試算表 (0-15歲)'!B46,"")),""),IF(保費分齡表對應=1,IF(總檢核,IF(A64=分齡表最大顯示年齡,"***以下空白***",IF(A65&lt;=分齡表最大顯示年齡,'試算表 (0-15歲)'!B46,"")),""),""))</f>
        <v/>
      </c>
      <c r="E65" s="252"/>
      <c r="F65" s="252"/>
      <c r="G65" s="250" t="str">
        <f ca="1">IF(DPAA保額="",IF(總檢核,IF(A65="","",SUM('試算表 (0-15歲)'!C46:N46)),""),IF(保費分齡表對應=1,IF(總檢核,IF(A65="","",SUM('試算表 (0-15歲)'!C46:N46)),""),""))</f>
        <v/>
      </c>
      <c r="H65" s="250"/>
      <c r="I65" s="250"/>
      <c r="J65" s="250" t="str">
        <f t="shared" ca="1" si="8"/>
        <v/>
      </c>
      <c r="K65" s="250"/>
      <c r="L65" s="250"/>
      <c r="M65" s="250"/>
      <c r="N65" s="252" t="str">
        <f ca="1">IF(DPAA保額="",IF(總檢核,IF(A65="","",'試算表 (0-15歲)'!O46),""),IF(保費分齡表對應=1,IF(總檢核,IF(A65="","",'試算表 (0-15歲)'!O46),""),""))</f>
        <v/>
      </c>
      <c r="O65" s="252"/>
      <c r="P65" s="252"/>
      <c r="Q65" s="252" t="str">
        <f ca="1">IF(DPAA保額="",IF(總檢核,IF(A65="","",SUM('試算表 (0-15歲)'!P46:AA46)),""),IF(保費分齡表對應=1,IF(總檢核,IF(A65="","",SUM('試算表 (0-15歲)'!P46:AA46)),""),""))</f>
        <v/>
      </c>
      <c r="R65" s="252"/>
      <c r="S65" s="252"/>
      <c r="T65" s="250" t="str">
        <f t="shared" ca="1" si="9"/>
        <v/>
      </c>
      <c r="U65" s="250"/>
      <c r="V65" s="250"/>
      <c r="W65" s="250"/>
    </row>
    <row r="66" spans="1:23" hidden="1">
      <c r="A66" s="251" t="str">
        <f ca="1">IF(DPAA保額="",IF(總檢核,'試算表 (0-15歲)'!A47,""),IF(保費分齡表對應=1,IF(總檢核,'試算表 (0-15歲)'!A47,""),""))</f>
        <v/>
      </c>
      <c r="B66" s="251"/>
      <c r="C66" s="251"/>
      <c r="D66" s="252" t="str">
        <f ca="1">IF(DPAA保額="",IF(總檢核,IF(A65=分齡表最大顯示年齡,"***以下空白***",IF(A66&lt;=分齡表最大顯示年齡,'試算表 (0-15歲)'!B47,"")),""),IF(保費分齡表對應=1,IF(總檢核,IF(A65=分齡表最大顯示年齡,"***以下空白***",IF(A66&lt;=分齡表最大顯示年齡,'試算表 (0-15歲)'!B47,"")),""),""))</f>
        <v/>
      </c>
      <c r="E66" s="252"/>
      <c r="F66" s="252"/>
      <c r="G66" s="250" t="str">
        <f ca="1">IF(DPAA保額="",IF(總檢核,IF(A66="","",SUM('試算表 (0-15歲)'!C47:N47)),""),IF(保費分齡表對應=1,IF(總檢核,IF(A66="","",SUM('試算表 (0-15歲)'!C47:N47)),""),""))</f>
        <v/>
      </c>
      <c r="H66" s="250"/>
      <c r="I66" s="250"/>
      <c r="J66" s="250" t="str">
        <f t="shared" ca="1" si="8"/>
        <v/>
      </c>
      <c r="K66" s="250"/>
      <c r="L66" s="250"/>
      <c r="M66" s="250"/>
      <c r="N66" s="252" t="str">
        <f ca="1">IF(DPAA保額="",IF(總檢核,IF(A66="","",'試算表 (0-15歲)'!O47),""),IF(保費分齡表對應=1,IF(總檢核,IF(A66="","",'試算表 (0-15歲)'!O47),""),""))</f>
        <v/>
      </c>
      <c r="O66" s="252"/>
      <c r="P66" s="252"/>
      <c r="Q66" s="252" t="str">
        <f ca="1">IF(DPAA保額="",IF(總檢核,IF(A66="","",SUM('試算表 (0-15歲)'!P47:AA47)),""),IF(保費分齡表對應=1,IF(總檢核,IF(A66="","",SUM('試算表 (0-15歲)'!P47:AA47)),""),""))</f>
        <v/>
      </c>
      <c r="R66" s="252"/>
      <c r="S66" s="252"/>
      <c r="T66" s="250" t="str">
        <f t="shared" ca="1" si="9"/>
        <v/>
      </c>
      <c r="U66" s="250"/>
      <c r="V66" s="250"/>
      <c r="W66" s="250"/>
    </row>
    <row r="67" spans="1:23" hidden="1">
      <c r="A67" s="251" t="str">
        <f ca="1">IF(DPAA保額="",IF(總檢核,'試算表 (0-15歲)'!A48,""),IF(保費分齡表對應=1,IF(總檢核,'試算表 (0-15歲)'!A48,""),""))</f>
        <v/>
      </c>
      <c r="B67" s="251"/>
      <c r="C67" s="251"/>
      <c r="D67" s="252" t="str">
        <f ca="1">IF(DPAA保額="",IF(總檢核,IF(A66=分齡表最大顯示年齡,"***以下空白***",IF(A67&lt;=分齡表最大顯示年齡,'試算表 (0-15歲)'!B48,"")),""),IF(保費分齡表對應=1,IF(總檢核,IF(A66=分齡表最大顯示年齡,"***以下空白***",IF(A67&lt;=分齡表最大顯示年齡,'試算表 (0-15歲)'!B48,"")),""),""))</f>
        <v/>
      </c>
      <c r="E67" s="252"/>
      <c r="F67" s="252"/>
      <c r="G67" s="250" t="str">
        <f ca="1">IF(DPAA保額="",IF(總檢核,IF(A67="","",SUM('試算表 (0-15歲)'!C48:N48)),""),IF(保費分齡表對應=1,IF(總檢核,IF(A67="","",SUM('試算表 (0-15歲)'!C48:N48)),""),""))</f>
        <v/>
      </c>
      <c r="H67" s="250"/>
      <c r="I67" s="250"/>
      <c r="J67" s="250" t="str">
        <f t="shared" ca="1" si="8"/>
        <v/>
      </c>
      <c r="K67" s="250"/>
      <c r="L67" s="250"/>
      <c r="M67" s="250"/>
      <c r="N67" s="252" t="str">
        <f ca="1">IF(DPAA保額="",IF(總檢核,IF(A67="","",'試算表 (0-15歲)'!O48),""),IF(保費分齡表對應=1,IF(總檢核,IF(A67="","",'試算表 (0-15歲)'!O48),""),""))</f>
        <v/>
      </c>
      <c r="O67" s="252"/>
      <c r="P67" s="252"/>
      <c r="Q67" s="252" t="str">
        <f ca="1">IF(DPAA保額="",IF(總檢核,IF(A67="","",SUM('試算表 (0-15歲)'!P48:AA48)),""),IF(保費分齡表對應=1,IF(總檢核,IF(A67="","",SUM('試算表 (0-15歲)'!P48:AA48)),""),""))</f>
        <v/>
      </c>
      <c r="R67" s="252"/>
      <c r="S67" s="252"/>
      <c r="T67" s="250" t="str">
        <f t="shared" ca="1" si="9"/>
        <v/>
      </c>
      <c r="U67" s="250"/>
      <c r="V67" s="250"/>
      <c r="W67" s="250"/>
    </row>
    <row r="68" spans="1:23" hidden="1">
      <c r="A68" s="254" t="str">
        <f ca="1">IF(DPAA保額="",IF(總檢核,'試算表 (0-15歲)'!A49,""),IF(保費分齡表對應=1,IF(總檢核,'試算表 (0-15歲)'!A49,""),""))</f>
        <v/>
      </c>
      <c r="B68" s="254"/>
      <c r="C68" s="254"/>
      <c r="D68" s="255" t="str">
        <f ca="1">IF(DPAA保額="",IF(總檢核,IF(A67=分齡表最大顯示年齡,"***以下空白***",IF(A68&lt;=分齡表最大顯示年齡,'試算表 (0-15歲)'!B49,"")),""),IF(保費分齡表對應=1,IF(總檢核,IF(A67=分齡表最大顯示年齡,"***以下空白***",IF(A68&lt;=分齡表最大顯示年齡,'試算表 (0-15歲)'!B49,"")),""),""))</f>
        <v/>
      </c>
      <c r="E68" s="255"/>
      <c r="F68" s="255"/>
      <c r="G68" s="253" t="str">
        <f ca="1">IF(DPAA保額="",IF(總檢核,IF(A68="","",SUM('試算表 (0-15歲)'!C49:N49)),""),IF(保費分齡表對應=1,IF(總檢核,IF(A68="","",SUM('試算表 (0-15歲)'!C49:N49)),""),""))</f>
        <v/>
      </c>
      <c r="H68" s="253"/>
      <c r="I68" s="253"/>
      <c r="J68" s="253" t="str">
        <f t="shared" ca="1" si="8"/>
        <v/>
      </c>
      <c r="K68" s="253"/>
      <c r="L68" s="253"/>
      <c r="M68" s="253"/>
      <c r="N68" s="255" t="str">
        <f ca="1">IF(DPAA保額="",IF(總檢核,IF(A68="","",'試算表 (0-15歲)'!O49),""),IF(保費分齡表對應=1,IF(總檢核,IF(A68="","",'試算表 (0-15歲)'!O49),""),""))</f>
        <v/>
      </c>
      <c r="O68" s="255"/>
      <c r="P68" s="255"/>
      <c r="Q68" s="255" t="str">
        <f ca="1">IF(DPAA保額="",IF(總檢核,IF(A68="","",SUM('試算表 (0-15歲)'!P49:AA49)),""),IF(保費分齡表對應=1,IF(總檢核,IF(A68="","",SUM('試算表 (0-15歲)'!P49:AA49)),""),""))</f>
        <v/>
      </c>
      <c r="R68" s="255"/>
      <c r="S68" s="255"/>
      <c r="T68" s="253" t="str">
        <f t="shared" ca="1" si="9"/>
        <v/>
      </c>
      <c r="U68" s="253"/>
      <c r="V68" s="253"/>
      <c r="W68" s="253"/>
    </row>
    <row r="69" spans="1:23" hidden="1">
      <c r="A69" s="251" t="str">
        <f ca="1">IF(DPAA保額="",IF(總檢核,'試算表 (0-15歲)'!A50,""),IF(保費分齡表對應=1,IF(總檢核,'試算表 (0-15歲)'!A50,""),""))</f>
        <v/>
      </c>
      <c r="B69" s="251"/>
      <c r="C69" s="251"/>
      <c r="D69" s="252" t="str">
        <f ca="1">IF(DPAA保額="",IF(總檢核,IF(A68=分齡表最大顯示年齡,"***以下空白***",IF(A69&lt;=分齡表最大顯示年齡,'試算表 (0-15歲)'!B50,"")),""),IF(保費分齡表對應=1,IF(總檢核,IF(A68=分齡表最大顯示年齡,"***以下空白***",IF(A69&lt;=分齡表最大顯示年齡,'試算表 (0-15歲)'!B50,"")),""),""))</f>
        <v/>
      </c>
      <c r="E69" s="252"/>
      <c r="F69" s="252"/>
      <c r="G69" s="250" t="str">
        <f ca="1">IF(DPAA保額="",IF(總檢核,IF(A69="","",SUM('試算表 (0-15歲)'!C50:N50)),""),IF(保費分齡表對應=1,IF(總檢核,IF(A69="","",SUM('試算表 (0-15歲)'!C50:N50)),""),""))</f>
        <v/>
      </c>
      <c r="H69" s="250"/>
      <c r="I69" s="250"/>
      <c r="J69" s="250" t="str">
        <f t="shared" ca="1" si="8"/>
        <v/>
      </c>
      <c r="K69" s="250"/>
      <c r="L69" s="250"/>
      <c r="M69" s="250"/>
      <c r="N69" s="252" t="str">
        <f ca="1">IF(DPAA保額="",IF(總檢核,IF(A69="","",'試算表 (0-15歲)'!O50),""),IF(保費分齡表對應=1,IF(總檢核,IF(A69="","",'試算表 (0-15歲)'!O50),""),""))</f>
        <v/>
      </c>
      <c r="O69" s="252"/>
      <c r="P69" s="252"/>
      <c r="Q69" s="252" t="str">
        <f ca="1">IF(DPAA保額="",IF(總檢核,IF(A69="","",SUM('試算表 (0-15歲)'!P50:AA50)),""),IF(保費分齡表對應=1,IF(總檢核,IF(A69="","",SUM('試算表 (0-15歲)'!P50:AA50)),""),""))</f>
        <v/>
      </c>
      <c r="R69" s="252"/>
      <c r="S69" s="252"/>
      <c r="T69" s="250" t="str">
        <f t="shared" ca="1" si="9"/>
        <v/>
      </c>
      <c r="U69" s="250"/>
      <c r="V69" s="250"/>
      <c r="W69" s="250"/>
    </row>
    <row r="70" spans="1:23" hidden="1">
      <c r="A70" s="251" t="str">
        <f ca="1">IF(DPAA保額="",IF(總檢核,'試算表 (0-15歲)'!A51,""),IF(保費分齡表對應=1,IF(總檢核,'試算表 (0-15歲)'!A51,""),""))</f>
        <v/>
      </c>
      <c r="B70" s="251"/>
      <c r="C70" s="251"/>
      <c r="D70" s="252" t="str">
        <f ca="1">IF(DPAA保額="",IF(總檢核,IF(A69=分齡表最大顯示年齡,"***以下空白***",IF(A70&lt;=分齡表最大顯示年齡,'試算表 (0-15歲)'!B51,"")),""),IF(保費分齡表對應=1,IF(總檢核,IF(A69=分齡表最大顯示年齡,"***以下空白***",IF(A70&lt;=分齡表最大顯示年齡,'試算表 (0-15歲)'!B51,"")),""),""))</f>
        <v/>
      </c>
      <c r="E70" s="252"/>
      <c r="F70" s="252"/>
      <c r="G70" s="250" t="str">
        <f ca="1">IF(DPAA保額="",IF(總檢核,IF(A70="","",SUM('試算表 (0-15歲)'!C51:N51)),""),IF(保費分齡表對應=1,IF(總檢核,IF(A70="","",SUM('試算表 (0-15歲)'!C51:N51)),""),""))</f>
        <v/>
      </c>
      <c r="H70" s="250"/>
      <c r="I70" s="250"/>
      <c r="J70" s="250" t="str">
        <f t="shared" ca="1" si="8"/>
        <v/>
      </c>
      <c r="K70" s="250"/>
      <c r="L70" s="250"/>
      <c r="M70" s="250"/>
      <c r="N70" s="252" t="str">
        <f ca="1">IF(DPAA保額="",IF(總檢核,IF(A70="","",'試算表 (0-15歲)'!O51),""),IF(保費分齡表對應=1,IF(總檢核,IF(A70="","",'試算表 (0-15歲)'!O51),""),""))</f>
        <v/>
      </c>
      <c r="O70" s="252"/>
      <c r="P70" s="252"/>
      <c r="Q70" s="252" t="str">
        <f ca="1">IF(DPAA保額="",IF(總檢核,IF(A70="","",SUM('試算表 (0-15歲)'!P51:AA51)),""),IF(保費分齡表對應=1,IF(總檢核,IF(A70="","",SUM('試算表 (0-15歲)'!P51:AA51)),""),""))</f>
        <v/>
      </c>
      <c r="R70" s="252"/>
      <c r="S70" s="252"/>
      <c r="T70" s="250" t="str">
        <f t="shared" ca="1" si="9"/>
        <v/>
      </c>
      <c r="U70" s="250"/>
      <c r="V70" s="250"/>
      <c r="W70" s="250"/>
    </row>
    <row r="71" spans="1:23" hidden="1">
      <c r="A71" s="251" t="str">
        <f ca="1">IF(DPAA保額="",IF(總檢核,'試算表 (0-15歲)'!A52,""),IF(保費分齡表對應=1,IF(總檢核,'試算表 (0-15歲)'!A52,""),""))</f>
        <v/>
      </c>
      <c r="B71" s="251"/>
      <c r="C71" s="251"/>
      <c r="D71" s="252" t="str">
        <f ca="1">IF(DPAA保額="",IF(總檢核,IF(A70=分齡表最大顯示年齡,"***以下空白***",IF(A71&lt;=分齡表最大顯示年齡,'試算表 (0-15歲)'!B52,"")),""),IF(保費分齡表對應=1,IF(總檢核,IF(A70=分齡表最大顯示年齡,"***以下空白***",IF(A71&lt;=分齡表最大顯示年齡,'試算表 (0-15歲)'!B52,"")),""),""))</f>
        <v/>
      </c>
      <c r="E71" s="252"/>
      <c r="F71" s="252"/>
      <c r="G71" s="250" t="str">
        <f ca="1">IF(DPAA保額="",IF(總檢核,IF(A71="","",SUM('試算表 (0-15歲)'!C52:N52)),""),IF(保費分齡表對應=1,IF(總檢核,IF(A71="","",SUM('試算表 (0-15歲)'!C52:N52)),""),""))</f>
        <v/>
      </c>
      <c r="H71" s="250"/>
      <c r="I71" s="250"/>
      <c r="J71" s="250" t="str">
        <f t="shared" ca="1" si="8"/>
        <v/>
      </c>
      <c r="K71" s="250"/>
      <c r="L71" s="250"/>
      <c r="M71" s="250"/>
      <c r="N71" s="252" t="str">
        <f ca="1">IF(DPAA保額="",IF(總檢核,IF(A71="","",'試算表 (0-15歲)'!O52),""),IF(保費分齡表對應=1,IF(總檢核,IF(A71="","",'試算表 (0-15歲)'!O52),""),""))</f>
        <v/>
      </c>
      <c r="O71" s="252"/>
      <c r="P71" s="252"/>
      <c r="Q71" s="252" t="str">
        <f ca="1">IF(DPAA保額="",IF(總檢核,IF(A71="","",SUM('試算表 (0-15歲)'!P52:AA52)),""),IF(保費分齡表對應=1,IF(總檢核,IF(A71="","",SUM('試算表 (0-15歲)'!P52:AA52)),""),""))</f>
        <v/>
      </c>
      <c r="R71" s="252"/>
      <c r="S71" s="252"/>
      <c r="T71" s="250" t="str">
        <f t="shared" ca="1" si="9"/>
        <v/>
      </c>
      <c r="U71" s="250"/>
      <c r="V71" s="250"/>
      <c r="W71" s="250"/>
    </row>
    <row r="72" spans="1:23" hidden="1">
      <c r="A72" s="251" t="str">
        <f ca="1">IF(DPAA保額="",IF(總檢核,'試算表 (0-15歲)'!A53,""),IF(保費分齡表對應=1,IF(總檢核,'試算表 (0-15歲)'!A53,""),""))</f>
        <v/>
      </c>
      <c r="B72" s="251"/>
      <c r="C72" s="251"/>
      <c r="D72" s="252" t="str">
        <f ca="1">IF(DPAA保額="",IF(總檢核,IF(A71=分齡表最大顯示年齡,"***以下空白***",IF(A72&lt;=分齡表最大顯示年齡,'試算表 (0-15歲)'!B53,"")),""),IF(保費分齡表對應=1,IF(總檢核,IF(A71=分齡表最大顯示年齡,"***以下空白***",IF(A72&lt;=分齡表最大顯示年齡,'試算表 (0-15歲)'!B53,"")),""),""))</f>
        <v/>
      </c>
      <c r="E72" s="252"/>
      <c r="F72" s="252"/>
      <c r="G72" s="250" t="str">
        <f ca="1">IF(DPAA保額="",IF(總檢核,IF(A72="","",SUM('試算表 (0-15歲)'!C53:N53)),""),IF(保費分齡表對應=1,IF(總檢核,IF(A72="","",SUM('試算表 (0-15歲)'!C53:N53)),""),""))</f>
        <v/>
      </c>
      <c r="H72" s="250"/>
      <c r="I72" s="250"/>
      <c r="J72" s="250" t="str">
        <f t="shared" ca="1" si="8"/>
        <v/>
      </c>
      <c r="K72" s="250"/>
      <c r="L72" s="250"/>
      <c r="M72" s="250"/>
      <c r="N72" s="252" t="str">
        <f ca="1">IF(DPAA保額="",IF(總檢核,IF(A72="","",'試算表 (0-15歲)'!O53),""),IF(保費分齡表對應=1,IF(總檢核,IF(A72="","",'試算表 (0-15歲)'!O53),""),""))</f>
        <v/>
      </c>
      <c r="O72" s="252"/>
      <c r="P72" s="252"/>
      <c r="Q72" s="252" t="str">
        <f ca="1">IF(DPAA保額="",IF(總檢核,IF(A72="","",SUM('試算表 (0-15歲)'!P53:AA53)),""),IF(保費分齡表對應=1,IF(總檢核,IF(A72="","",SUM('試算表 (0-15歲)'!P53:AA53)),""),""))</f>
        <v/>
      </c>
      <c r="R72" s="252"/>
      <c r="S72" s="252"/>
      <c r="T72" s="250" t="str">
        <f t="shared" ca="1" si="9"/>
        <v/>
      </c>
      <c r="U72" s="250"/>
      <c r="V72" s="250"/>
      <c r="W72" s="250"/>
    </row>
    <row r="73" spans="1:23" hidden="1">
      <c r="A73" s="254" t="str">
        <f ca="1">IF(DPAA保額="",IF(總檢核,'試算表 (0-15歲)'!A54,""),IF(保費分齡表對應=1,IF(總檢核,'試算表 (0-15歲)'!A54,""),""))</f>
        <v/>
      </c>
      <c r="B73" s="254"/>
      <c r="C73" s="254"/>
      <c r="D73" s="255" t="str">
        <f ca="1">IF(DPAA保額="",IF(總檢核,IF(A72=分齡表最大顯示年齡,"***以下空白***",IF(A73&lt;=分齡表最大顯示年齡,'試算表 (0-15歲)'!B54,"")),""),IF(保費分齡表對應=1,IF(總檢核,IF(A72=分齡表最大顯示年齡,"***以下空白***",IF(A73&lt;=分齡表最大顯示年齡,'試算表 (0-15歲)'!B54,"")),""),""))</f>
        <v/>
      </c>
      <c r="E73" s="255"/>
      <c r="F73" s="255"/>
      <c r="G73" s="253" t="str">
        <f ca="1">IF(DPAA保額="",IF(總檢核,IF(A73="","",SUM('試算表 (0-15歲)'!C54:N54)),""),IF(保費分齡表對應=1,IF(總檢核,IF(A73="","",SUM('試算表 (0-15歲)'!C54:N54)),""),""))</f>
        <v/>
      </c>
      <c r="H73" s="253"/>
      <c r="I73" s="253"/>
      <c r="J73" s="253" t="str">
        <f t="shared" ca="1" si="8"/>
        <v/>
      </c>
      <c r="K73" s="253"/>
      <c r="L73" s="253"/>
      <c r="M73" s="253"/>
      <c r="N73" s="255" t="str">
        <f ca="1">IF(DPAA保額="",IF(總檢核,IF(A73="","",'試算表 (0-15歲)'!O54),""),IF(保費分齡表對應=1,IF(總檢核,IF(A73="","",'試算表 (0-15歲)'!O54),""),""))</f>
        <v/>
      </c>
      <c r="O73" s="255"/>
      <c r="P73" s="255"/>
      <c r="Q73" s="255" t="str">
        <f ca="1">IF(DPAA保額="",IF(總檢核,IF(A73="","",SUM('試算表 (0-15歲)'!P54:AA54)),""),IF(保費分齡表對應=1,IF(總檢核,IF(A73="","",SUM('試算表 (0-15歲)'!P54:AA54)),""),""))</f>
        <v/>
      </c>
      <c r="R73" s="255"/>
      <c r="S73" s="255"/>
      <c r="T73" s="253" t="str">
        <f t="shared" ca="1" si="9"/>
        <v/>
      </c>
      <c r="U73" s="253"/>
      <c r="V73" s="253"/>
      <c r="W73" s="253"/>
    </row>
    <row r="74" spans="1:23" hidden="1">
      <c r="A74" s="251" t="str">
        <f ca="1">IF(DPAA保額="",IF(總檢核,'試算表 (0-15歲)'!A55,""),IF(保費分齡表對應=1,IF(總檢核,'試算表 (0-15歲)'!A55,""),""))</f>
        <v/>
      </c>
      <c r="B74" s="251"/>
      <c r="C74" s="251"/>
      <c r="D74" s="252" t="str">
        <f ca="1">IF(DPAA保額="",IF(總檢核,IF(A73=分齡表最大顯示年齡,"***以下空白***",IF(A74&lt;=分齡表最大顯示年齡,'試算表 (0-15歲)'!B55,"")),""),IF(保費分齡表對應=1,IF(總檢核,IF(A73=分齡表最大顯示年齡,"***以下空白***",IF(A74&lt;=分齡表最大顯示年齡,'試算表 (0-15歲)'!B55,"")),""),""))</f>
        <v/>
      </c>
      <c r="E74" s="252"/>
      <c r="F74" s="252"/>
      <c r="G74" s="250" t="str">
        <f ca="1">IF(DPAA保額="",IF(總檢核,IF(A74="","",SUM('試算表 (0-15歲)'!C55:N55)),""),IF(保費分齡表對應=1,IF(總檢核,IF(A74="","",SUM('試算表 (0-15歲)'!C55:N55)),""),""))</f>
        <v/>
      </c>
      <c r="H74" s="250"/>
      <c r="I74" s="250"/>
      <c r="J74" s="250" t="str">
        <f t="shared" ca="1" si="8"/>
        <v/>
      </c>
      <c r="K74" s="250"/>
      <c r="L74" s="250"/>
      <c r="M74" s="250"/>
      <c r="N74" s="252" t="str">
        <f ca="1">IF(DPAA保額="",IF(總檢核,IF(A74="","",'試算表 (0-15歲)'!O55),""),IF(保費分齡表對應=1,IF(總檢核,IF(A74="","",'試算表 (0-15歲)'!O55),""),""))</f>
        <v/>
      </c>
      <c r="O74" s="252"/>
      <c r="P74" s="252"/>
      <c r="Q74" s="252" t="str">
        <f ca="1">IF(DPAA保額="",IF(總檢核,IF(A74="","",SUM('試算表 (0-15歲)'!P55:AA55)),""),IF(保費分齡表對應=1,IF(總檢核,IF(A74="","",SUM('試算表 (0-15歲)'!P55:AA55)),""),""))</f>
        <v/>
      </c>
      <c r="R74" s="252"/>
      <c r="S74" s="252"/>
      <c r="T74" s="250" t="str">
        <f t="shared" ca="1" si="9"/>
        <v/>
      </c>
      <c r="U74" s="250"/>
      <c r="V74" s="250"/>
      <c r="W74" s="250"/>
    </row>
    <row r="75" spans="1:23" hidden="1">
      <c r="A75" s="251" t="str">
        <f ca="1">IF(DPAA保額="",IF(總檢核,'試算表 (0-15歲)'!A56,""),IF(保費分齡表對應=1,IF(總檢核,'試算表 (0-15歲)'!A56,""),""))</f>
        <v/>
      </c>
      <c r="B75" s="251"/>
      <c r="C75" s="251"/>
      <c r="D75" s="252" t="str">
        <f ca="1">IF(DPAA保額="",IF(總檢核,IF(A74=分齡表最大顯示年齡,"***以下空白***",IF(A75&lt;=分齡表最大顯示年齡,'試算表 (0-15歲)'!B56,"")),""),IF(保費分齡表對應=1,IF(總檢核,IF(A74=分齡表最大顯示年齡,"***以下空白***",IF(A75&lt;=分齡表最大顯示年齡,'試算表 (0-15歲)'!B56,"")),""),""))</f>
        <v/>
      </c>
      <c r="E75" s="252"/>
      <c r="F75" s="252"/>
      <c r="G75" s="250" t="str">
        <f ca="1">IF(DPAA保額="",IF(總檢核,IF(A75="","",SUM('試算表 (0-15歲)'!C56:N56)),""),IF(保費分齡表對應=1,IF(總檢核,IF(A75="","",SUM('試算表 (0-15歲)'!C56:N56)),""),""))</f>
        <v/>
      </c>
      <c r="H75" s="250"/>
      <c r="I75" s="250"/>
      <c r="J75" s="250" t="str">
        <f t="shared" ca="1" si="8"/>
        <v/>
      </c>
      <c r="K75" s="250"/>
      <c r="L75" s="250"/>
      <c r="M75" s="250"/>
      <c r="N75" s="252" t="str">
        <f ca="1">IF(DPAA保額="",IF(總檢核,IF(A75="","",'試算表 (0-15歲)'!O56),""),IF(保費分齡表對應=1,IF(總檢核,IF(A75="","",'試算表 (0-15歲)'!O56),""),""))</f>
        <v/>
      </c>
      <c r="O75" s="252"/>
      <c r="P75" s="252"/>
      <c r="Q75" s="252" t="str">
        <f ca="1">IF(DPAA保額="",IF(總檢核,IF(A75="","",SUM('試算表 (0-15歲)'!P56:AA56)),""),IF(保費分齡表對應=1,IF(總檢核,IF(A75="","",SUM('試算表 (0-15歲)'!P56:AA56)),""),""))</f>
        <v/>
      </c>
      <c r="R75" s="252"/>
      <c r="S75" s="252"/>
      <c r="T75" s="250" t="str">
        <f t="shared" ca="1" si="9"/>
        <v/>
      </c>
      <c r="U75" s="250"/>
      <c r="V75" s="250"/>
      <c r="W75" s="250"/>
    </row>
    <row r="76" spans="1:23" hidden="1">
      <c r="A76" s="251" t="str">
        <f ca="1">IF(DPAA保額="",IF(總檢核,'試算表 (0-15歲)'!A57,""),IF(保費分齡表對應=1,IF(總檢核,'試算表 (0-15歲)'!A57,""),""))</f>
        <v/>
      </c>
      <c r="B76" s="251"/>
      <c r="C76" s="251"/>
      <c r="D76" s="252" t="str">
        <f ca="1">IF(DPAA保額="",IF(總檢核,IF(A75=分齡表最大顯示年齡,"***以下空白***",IF(A76&lt;=分齡表最大顯示年齡,'試算表 (0-15歲)'!B57,"")),""),IF(保費分齡表對應=1,IF(總檢核,IF(A75=分齡表最大顯示年齡,"***以下空白***",IF(A76&lt;=分齡表最大顯示年齡,'試算表 (0-15歲)'!B57,"")),""),""))</f>
        <v/>
      </c>
      <c r="E76" s="252"/>
      <c r="F76" s="252"/>
      <c r="G76" s="250" t="str">
        <f ca="1">IF(DPAA保額="",IF(總檢核,IF(A76="","",SUM('試算表 (0-15歲)'!C57:N57)),""),IF(保費分齡表對應=1,IF(總檢核,IF(A76="","",SUM('試算表 (0-15歲)'!C57:N57)),""),""))</f>
        <v/>
      </c>
      <c r="H76" s="250"/>
      <c r="I76" s="250"/>
      <c r="J76" s="250" t="str">
        <f t="shared" ca="1" si="8"/>
        <v/>
      </c>
      <c r="K76" s="250"/>
      <c r="L76" s="250"/>
      <c r="M76" s="250"/>
      <c r="N76" s="252" t="str">
        <f ca="1">IF(DPAA保額="",IF(總檢核,IF(A76="","",'試算表 (0-15歲)'!O57),""),IF(保費分齡表對應=1,IF(總檢核,IF(A76="","",'試算表 (0-15歲)'!O57),""),""))</f>
        <v/>
      </c>
      <c r="O76" s="252"/>
      <c r="P76" s="252"/>
      <c r="Q76" s="252" t="str">
        <f ca="1">IF(DPAA保額="",IF(總檢核,IF(A76="","",SUM('試算表 (0-15歲)'!P57:AA57)),""),IF(保費分齡表對應=1,IF(總檢核,IF(A76="","",SUM('試算表 (0-15歲)'!P57:AA57)),""),""))</f>
        <v/>
      </c>
      <c r="R76" s="252"/>
      <c r="S76" s="252"/>
      <c r="T76" s="250" t="str">
        <f t="shared" ca="1" si="9"/>
        <v/>
      </c>
      <c r="U76" s="250"/>
      <c r="V76" s="250"/>
      <c r="W76" s="250"/>
    </row>
    <row r="77" spans="1:23" hidden="1">
      <c r="A77" s="251" t="str">
        <f ca="1">IF(DPAA保額="",IF(總檢核,'試算表 (0-15歲)'!A58,""),IF(保費分齡表對應=1,IF(總檢核,'試算表 (0-15歲)'!A58,""),""))</f>
        <v/>
      </c>
      <c r="B77" s="251"/>
      <c r="C77" s="251"/>
      <c r="D77" s="252" t="str">
        <f ca="1">IF(DPAA保額="",IF(總檢核,IF(A76=分齡表最大顯示年齡,"***以下空白***",IF(A77&lt;=分齡表最大顯示年齡,'試算表 (0-15歲)'!B58,"")),""),IF(保費分齡表對應=1,IF(總檢核,IF(A76=分齡表最大顯示年齡,"***以下空白***",IF(A77&lt;=分齡表最大顯示年齡,'試算表 (0-15歲)'!B58,"")),""),""))</f>
        <v/>
      </c>
      <c r="E77" s="252"/>
      <c r="F77" s="252"/>
      <c r="G77" s="250" t="str">
        <f ca="1">IF(DPAA保額="",IF(總檢核,IF(A77="","",SUM('試算表 (0-15歲)'!C58:N58)),""),IF(保費分齡表對應=1,IF(總檢核,IF(A77="","",SUM('試算表 (0-15歲)'!C58:N58)),""),""))</f>
        <v/>
      </c>
      <c r="H77" s="250"/>
      <c r="I77" s="250"/>
      <c r="J77" s="250" t="str">
        <f t="shared" ca="1" si="8"/>
        <v/>
      </c>
      <c r="K77" s="250"/>
      <c r="L77" s="250"/>
      <c r="M77" s="250"/>
      <c r="N77" s="252" t="str">
        <f ca="1">IF(DPAA保額="",IF(總檢核,IF(A77="","",'試算表 (0-15歲)'!O58),""),IF(保費分齡表對應=1,IF(總檢核,IF(A77="","",'試算表 (0-15歲)'!O58),""),""))</f>
        <v/>
      </c>
      <c r="O77" s="252"/>
      <c r="P77" s="252"/>
      <c r="Q77" s="252" t="str">
        <f ca="1">IF(DPAA保額="",IF(總檢核,IF(A77="","",SUM('試算表 (0-15歲)'!P58:AA58)),""),IF(保費分齡表對應=1,IF(總檢核,IF(A77="","",SUM('試算表 (0-15歲)'!P58:AA58)),""),""))</f>
        <v/>
      </c>
      <c r="R77" s="252"/>
      <c r="S77" s="252"/>
      <c r="T77" s="250" t="str">
        <f t="shared" ca="1" si="9"/>
        <v/>
      </c>
      <c r="U77" s="250"/>
      <c r="V77" s="250"/>
      <c r="W77" s="250"/>
    </row>
    <row r="78" spans="1:23" hidden="1">
      <c r="A78" s="254" t="str">
        <f ca="1">IF(DPAA保額="",IF(總檢核,'試算表 (0-15歲)'!A59,""),IF(保費分齡表對應=1,IF(總檢核,'試算表 (0-15歲)'!A59,""),""))</f>
        <v/>
      </c>
      <c r="B78" s="254"/>
      <c r="C78" s="254"/>
      <c r="D78" s="255" t="str">
        <f ca="1">IF(DPAA保額="",IF(總檢核,IF(A77=分齡表最大顯示年齡,"***以下空白***",IF(A78&lt;=分齡表最大顯示年齡,'試算表 (0-15歲)'!B59,"")),""),IF(保費分齡表對應=1,IF(總檢核,IF(A77=分齡表最大顯示年齡,"***以下空白***",IF(A78&lt;=分齡表最大顯示年齡,'試算表 (0-15歲)'!B59,"")),""),""))</f>
        <v/>
      </c>
      <c r="E78" s="255"/>
      <c r="F78" s="255"/>
      <c r="G78" s="253" t="str">
        <f ca="1">IF(DPAA保額="",IF(總檢核,IF(A78="","",SUM('試算表 (0-15歲)'!C59:N59)),""),IF(保費分齡表對應=1,IF(總檢核,IF(A78="","",SUM('試算表 (0-15歲)'!C59:N59)),""),""))</f>
        <v/>
      </c>
      <c r="H78" s="253"/>
      <c r="I78" s="253"/>
      <c r="J78" s="253" t="str">
        <f t="shared" ca="1" si="8"/>
        <v/>
      </c>
      <c r="K78" s="253"/>
      <c r="L78" s="253"/>
      <c r="M78" s="253"/>
      <c r="N78" s="255" t="str">
        <f ca="1">IF(DPAA保額="",IF(總檢核,IF(A78="","",'試算表 (0-15歲)'!O59),""),IF(保費分齡表對應=1,IF(總檢核,IF(A78="","",'試算表 (0-15歲)'!O59),""),""))</f>
        <v/>
      </c>
      <c r="O78" s="255"/>
      <c r="P78" s="255"/>
      <c r="Q78" s="255" t="str">
        <f ca="1">IF(DPAA保額="",IF(總檢核,IF(A78="","",SUM('試算表 (0-15歲)'!P59:AA59)),""),IF(保費分齡表對應=1,IF(總檢核,IF(A78="","",SUM('試算表 (0-15歲)'!P59:AA59)),""),""))</f>
        <v/>
      </c>
      <c r="R78" s="255"/>
      <c r="S78" s="255"/>
      <c r="T78" s="253" t="str">
        <f t="shared" ca="1" si="9"/>
        <v/>
      </c>
      <c r="U78" s="253"/>
      <c r="V78" s="253"/>
      <c r="W78" s="253"/>
    </row>
    <row r="79" spans="1:23" hidden="1">
      <c r="A79" s="251" t="str">
        <f ca="1">IF(DPAA保額="",IF(總檢核,'試算表 (0-15歲)'!A60,""),IF(保費分齡表對應=1,IF(總檢核,'試算表 (0-15歲)'!A60,""),""))</f>
        <v/>
      </c>
      <c r="B79" s="251"/>
      <c r="C79" s="251"/>
      <c r="D79" s="252" t="str">
        <f ca="1">IF(DPAA保額="",IF(總檢核,IF(A78=分齡表最大顯示年齡,"***以下空白***",IF(A79&lt;=分齡表最大顯示年齡,'試算表 (0-15歲)'!B60,"")),""),IF(保費分齡表對應=1,IF(總檢核,IF(A78=分齡表最大顯示年齡,"***以下空白***",IF(A79&lt;=分齡表最大顯示年齡,'試算表 (0-15歲)'!B60,"")),""),""))</f>
        <v/>
      </c>
      <c r="E79" s="252"/>
      <c r="F79" s="252"/>
      <c r="G79" s="250" t="str">
        <f ca="1">IF(DPAA保額="",IF(總檢核,IF(A79="","",SUM('試算表 (0-15歲)'!C60:N60)),""),IF(保費分齡表對應=1,IF(總檢核,IF(A79="","",SUM('試算表 (0-15歲)'!C60:N60)),""),""))</f>
        <v/>
      </c>
      <c r="H79" s="250"/>
      <c r="I79" s="250"/>
      <c r="J79" s="250" t="str">
        <f t="shared" ca="1" si="8"/>
        <v/>
      </c>
      <c r="K79" s="250"/>
      <c r="L79" s="250"/>
      <c r="M79" s="250"/>
      <c r="N79" s="252" t="str">
        <f ca="1">IF(DPAA保額="",IF(總檢核,IF(A79="","",'試算表 (0-15歲)'!O60),""),IF(保費分齡表對應=1,IF(總檢核,IF(A79="","",'試算表 (0-15歲)'!O60),""),""))</f>
        <v/>
      </c>
      <c r="O79" s="252"/>
      <c r="P79" s="252"/>
      <c r="Q79" s="252" t="str">
        <f ca="1">IF(DPAA保額="",IF(總檢核,IF(A79="","",SUM('試算表 (0-15歲)'!P60:AA60)),""),IF(保費分齡表對應=1,IF(總檢核,IF(A79="","",SUM('試算表 (0-15歲)'!P60:AA60)),""),""))</f>
        <v/>
      </c>
      <c r="R79" s="252"/>
      <c r="S79" s="252"/>
      <c r="T79" s="250" t="str">
        <f t="shared" ca="1" si="9"/>
        <v/>
      </c>
      <c r="U79" s="250"/>
      <c r="V79" s="250"/>
      <c r="W79" s="250"/>
    </row>
    <row r="80" spans="1:23" hidden="1">
      <c r="A80" s="251" t="str">
        <f ca="1">IF(DPAA保額="",IF(總檢核,'試算表 (0-15歲)'!A61,""),IF(保費分齡表對應=1,IF(總檢核,'試算表 (0-15歲)'!A61,""),""))</f>
        <v/>
      </c>
      <c r="B80" s="251"/>
      <c r="C80" s="251"/>
      <c r="D80" s="252" t="str">
        <f ca="1">IF(DPAA保額="",IF(總檢核,IF(A79=分齡表最大顯示年齡,"***以下空白***",IF(A80&lt;=分齡表最大顯示年齡,'試算表 (0-15歲)'!B61,"")),""),IF(保費分齡表對應=1,IF(總檢核,IF(A79=分齡表最大顯示年齡,"***以下空白***",IF(A80&lt;=分齡表最大顯示年齡,'試算表 (0-15歲)'!B61,"")),""),""))</f>
        <v/>
      </c>
      <c r="E80" s="252"/>
      <c r="F80" s="252"/>
      <c r="G80" s="250" t="str">
        <f ca="1">IF(DPAA保額="",IF(總檢核,IF(A80="","",SUM('試算表 (0-15歲)'!C61:N61)),""),IF(保費分齡表對應=1,IF(總檢核,IF(A80="","",SUM('試算表 (0-15歲)'!C61:N61)),""),""))</f>
        <v/>
      </c>
      <c r="H80" s="250"/>
      <c r="I80" s="250"/>
      <c r="J80" s="250" t="str">
        <f t="shared" ca="1" si="8"/>
        <v/>
      </c>
      <c r="K80" s="250"/>
      <c r="L80" s="250"/>
      <c r="M80" s="250"/>
      <c r="N80" s="252" t="str">
        <f ca="1">IF(DPAA保額="",IF(總檢核,IF(A80="","",'試算表 (0-15歲)'!O61),""),IF(保費分齡表對應=1,IF(總檢核,IF(A80="","",'試算表 (0-15歲)'!O61),""),""))</f>
        <v/>
      </c>
      <c r="O80" s="252"/>
      <c r="P80" s="252"/>
      <c r="Q80" s="252" t="str">
        <f ca="1">IF(DPAA保額="",IF(總檢核,IF(A80="","",SUM('試算表 (0-15歲)'!P61:AA61)),""),IF(保費分齡表對應=1,IF(總檢核,IF(A80="","",SUM('試算表 (0-15歲)'!P61:AA61)),""),""))</f>
        <v/>
      </c>
      <c r="R80" s="252"/>
      <c r="S80" s="252"/>
      <c r="T80" s="250" t="str">
        <f t="shared" ca="1" si="9"/>
        <v/>
      </c>
      <c r="U80" s="250"/>
      <c r="V80" s="250"/>
      <c r="W80" s="250"/>
    </row>
    <row r="81" spans="1:23" hidden="1">
      <c r="A81" s="251" t="str">
        <f ca="1">IF(DPAA保額="",IF(總檢核,'試算表 (0-15歲)'!A62,""),IF(保費分齡表對應=1,IF(總檢核,'試算表 (0-15歲)'!A62,""),""))</f>
        <v/>
      </c>
      <c r="B81" s="251"/>
      <c r="C81" s="251"/>
      <c r="D81" s="252" t="str">
        <f ca="1">IF(DPAA保額="",IF(總檢核,IF(A80=分齡表最大顯示年齡,"***以下空白***",IF(A81&lt;=分齡表最大顯示年齡,'試算表 (0-15歲)'!B62,"")),""),IF(保費分齡表對應=1,IF(總檢核,IF(A80=分齡表最大顯示年齡,"***以下空白***",IF(A81&lt;=分齡表最大顯示年齡,'試算表 (0-15歲)'!B62,"")),""),""))</f>
        <v/>
      </c>
      <c r="E81" s="252"/>
      <c r="F81" s="252"/>
      <c r="G81" s="250" t="str">
        <f ca="1">IF(DPAA保額="",IF(總檢核,IF(A81="","",SUM('試算表 (0-15歲)'!C62:N62)),""),IF(保費分齡表對應=1,IF(總檢核,IF(A81="","",SUM('試算表 (0-15歲)'!C62:N62)),""),""))</f>
        <v/>
      </c>
      <c r="H81" s="250"/>
      <c r="I81" s="250"/>
      <c r="J81" s="250" t="str">
        <f t="shared" ca="1" si="8"/>
        <v/>
      </c>
      <c r="K81" s="250"/>
      <c r="L81" s="250"/>
      <c r="M81" s="250"/>
      <c r="N81" s="252" t="str">
        <f ca="1">IF(DPAA保額="",IF(總檢核,IF(A81="","",'試算表 (0-15歲)'!O62),""),IF(保費分齡表對應=1,IF(總檢核,IF(A81="","",'試算表 (0-15歲)'!O62),""),""))</f>
        <v/>
      </c>
      <c r="O81" s="252"/>
      <c r="P81" s="252"/>
      <c r="Q81" s="252" t="str">
        <f ca="1">IF(DPAA保額="",IF(總檢核,IF(A81="","",SUM('試算表 (0-15歲)'!P62:AA62)),""),IF(保費分齡表對應=1,IF(總檢核,IF(A81="","",SUM('試算表 (0-15歲)'!P62:AA62)),""),""))</f>
        <v/>
      </c>
      <c r="R81" s="252"/>
      <c r="S81" s="252"/>
      <c r="T81" s="250" t="str">
        <f t="shared" ca="1" si="9"/>
        <v/>
      </c>
      <c r="U81" s="250"/>
      <c r="V81" s="250"/>
      <c r="W81" s="250"/>
    </row>
    <row r="82" spans="1:23" hidden="1">
      <c r="A82" s="251" t="str">
        <f ca="1">IF(DPAA保額="",IF(總檢核,'試算表 (0-15歲)'!A63,""),IF(保費分齡表對應=1,IF(總檢核,'試算表 (0-15歲)'!A63,""),""))</f>
        <v/>
      </c>
      <c r="B82" s="251"/>
      <c r="C82" s="251"/>
      <c r="D82" s="252" t="str">
        <f ca="1">IF(DPAA保額="",IF(總檢核,IF(A81=分齡表最大顯示年齡,"***以下空白***",IF(A82&lt;=分齡表最大顯示年齡,'試算表 (0-15歲)'!B63,"")),""),IF(保費分齡表對應=1,IF(總檢核,IF(A81=分齡表最大顯示年齡,"***以下空白***",IF(A82&lt;=分齡表最大顯示年齡,'試算表 (0-15歲)'!B63,"")),""),""))</f>
        <v/>
      </c>
      <c r="E82" s="252"/>
      <c r="F82" s="252"/>
      <c r="G82" s="250" t="str">
        <f ca="1">IF(DPAA保額="",IF(總檢核,IF(A82="","",SUM('試算表 (0-15歲)'!C63:N63)),""),IF(保費分齡表對應=1,IF(總檢核,IF(A82="","",SUM('試算表 (0-15歲)'!C63:N63)),""),""))</f>
        <v/>
      </c>
      <c r="H82" s="250"/>
      <c r="I82" s="250"/>
      <c r="J82" s="250" t="str">
        <f t="shared" ca="1" si="8"/>
        <v/>
      </c>
      <c r="K82" s="250"/>
      <c r="L82" s="250"/>
      <c r="M82" s="250"/>
      <c r="N82" s="252" t="str">
        <f ca="1">IF(DPAA保額="",IF(總檢核,IF(A82="","",'試算表 (0-15歲)'!O63),""),IF(保費分齡表對應=1,IF(總檢核,IF(A82="","",'試算表 (0-15歲)'!O63),""),""))</f>
        <v/>
      </c>
      <c r="O82" s="252"/>
      <c r="P82" s="252"/>
      <c r="Q82" s="252" t="str">
        <f ca="1">IF(DPAA保額="",IF(總檢核,IF(A82="","",SUM('試算表 (0-15歲)'!P63:AA63)),""),IF(保費分齡表對應=1,IF(總檢核,IF(A82="","",SUM('試算表 (0-15歲)'!P63:AA63)),""),""))</f>
        <v/>
      </c>
      <c r="R82" s="252"/>
      <c r="S82" s="252"/>
      <c r="T82" s="250" t="str">
        <f t="shared" ca="1" si="9"/>
        <v/>
      </c>
      <c r="U82" s="250"/>
      <c r="V82" s="250"/>
      <c r="W82" s="250"/>
    </row>
    <row r="83" spans="1:23" hidden="1">
      <c r="A83" s="254" t="str">
        <f ca="1">IF(DPAA保額="",IF(總檢核,'試算表 (0-15歲)'!A64,""),IF(保費分齡表對應=1,IF(總檢核,'試算表 (0-15歲)'!A64,""),""))</f>
        <v/>
      </c>
      <c r="B83" s="254"/>
      <c r="C83" s="254"/>
      <c r="D83" s="255" t="str">
        <f ca="1">IF(DPAA保額="",IF(總檢核,IF(A82=分齡表最大顯示年齡,"***以下空白***",IF(A83&lt;=分齡表最大顯示年齡,'試算表 (0-15歲)'!B64,"")),""),IF(保費分齡表對應=1,IF(總檢核,IF(A82=分齡表最大顯示年齡,"***以下空白***",IF(A83&lt;=分齡表最大顯示年齡,'試算表 (0-15歲)'!B64,"")),""),""))</f>
        <v/>
      </c>
      <c r="E83" s="255"/>
      <c r="F83" s="255"/>
      <c r="G83" s="253" t="str">
        <f ca="1">IF(DPAA保額="",IF(總檢核,IF(A83="","",SUM('試算表 (0-15歲)'!C64:N64)),""),IF(保費分齡表對應=1,IF(總檢核,IF(A83="","",SUM('試算表 (0-15歲)'!C64:N64)),""),""))</f>
        <v/>
      </c>
      <c r="H83" s="253"/>
      <c r="I83" s="253"/>
      <c r="J83" s="253" t="str">
        <f t="shared" ca="1" si="8"/>
        <v/>
      </c>
      <c r="K83" s="253"/>
      <c r="L83" s="253"/>
      <c r="M83" s="253"/>
      <c r="N83" s="255" t="str">
        <f ca="1">IF(DPAA保額="",IF(總檢核,IF(A83="","",'試算表 (0-15歲)'!O64),""),IF(保費分齡表對應=1,IF(總檢核,IF(A83="","",'試算表 (0-15歲)'!O64),""),""))</f>
        <v/>
      </c>
      <c r="O83" s="255"/>
      <c r="P83" s="255"/>
      <c r="Q83" s="255" t="str">
        <f ca="1">IF(DPAA保額="",IF(總檢核,IF(A83="","",SUM('試算表 (0-15歲)'!P64:AA64)),""),IF(保費分齡表對應=1,IF(總檢核,IF(A83="","",SUM('試算表 (0-15歲)'!P64:AA64)),""),""))</f>
        <v/>
      </c>
      <c r="R83" s="255"/>
      <c r="S83" s="255"/>
      <c r="T83" s="253" t="str">
        <f t="shared" ca="1" si="9"/>
        <v/>
      </c>
      <c r="U83" s="253"/>
      <c r="V83" s="253"/>
      <c r="W83" s="253"/>
    </row>
    <row r="84" spans="1:23" hidden="1">
      <c r="A84" s="251" t="str">
        <f ca="1">IF(DPAA保額="",IF(總檢核,'試算表 (0-15歲)'!A65,""),IF(保費分齡表對應=1,IF(總檢核,'試算表 (0-15歲)'!A65,""),""))</f>
        <v/>
      </c>
      <c r="B84" s="251"/>
      <c r="C84" s="251"/>
      <c r="D84" s="252" t="str">
        <f ca="1">IF(DPAA保額="",IF(總檢核,IF(A83=分齡表最大顯示年齡,"***以下空白***",IF(A84&lt;=分齡表最大顯示年齡,'試算表 (0-15歲)'!B65,"")),""),IF(保費分齡表對應=1,IF(總檢核,IF(A83=分齡表最大顯示年齡,"***以下空白***",IF(A84&lt;=分齡表最大顯示年齡,'試算表 (0-15歲)'!B65,"")),""),""))</f>
        <v/>
      </c>
      <c r="E84" s="252"/>
      <c r="F84" s="252"/>
      <c r="G84" s="250" t="str">
        <f ca="1">IF(DPAA保額="",IF(總檢核,IF(A84="","",SUM('試算表 (0-15歲)'!C65:N65)),""),IF(保費分齡表對應=1,IF(總檢核,IF(A84="","",SUM('試算表 (0-15歲)'!C65:N65)),""),""))</f>
        <v/>
      </c>
      <c r="H84" s="250"/>
      <c r="I84" s="250"/>
      <c r="J84" s="250" t="str">
        <f t="shared" ca="1" si="8"/>
        <v/>
      </c>
      <c r="K84" s="250"/>
      <c r="L84" s="250"/>
      <c r="M84" s="250"/>
      <c r="N84" s="252" t="str">
        <f ca="1">IF(DPAA保額="",IF(總檢核,IF(A84="","",'試算表 (0-15歲)'!O65),""),IF(保費分齡表對應=1,IF(總檢核,IF(A84="","",'試算表 (0-15歲)'!O65),""),""))</f>
        <v/>
      </c>
      <c r="O84" s="252"/>
      <c r="P84" s="252"/>
      <c r="Q84" s="252" t="str">
        <f ca="1">IF(DPAA保額="",IF(總檢核,IF(A84="","",SUM('試算表 (0-15歲)'!P65:AA65)),""),IF(保費分齡表對應=1,IF(總檢核,IF(A84="","",SUM('試算表 (0-15歲)'!P65:AA65)),""),""))</f>
        <v/>
      </c>
      <c r="R84" s="252"/>
      <c r="S84" s="252"/>
      <c r="T84" s="250" t="str">
        <f t="shared" ca="1" si="9"/>
        <v/>
      </c>
      <c r="U84" s="250"/>
      <c r="V84" s="250"/>
      <c r="W84" s="250"/>
    </row>
    <row r="85" spans="1:23" hidden="1">
      <c r="A85" s="251" t="str">
        <f ca="1">IF(DPAA保額="",IF(總檢核,'試算表 (0-15歲)'!A66,""),IF(保費分齡表對應=1,IF(總檢核,'試算表 (0-15歲)'!A66,""),""))</f>
        <v/>
      </c>
      <c r="B85" s="251"/>
      <c r="C85" s="251"/>
      <c r="D85" s="252" t="str">
        <f ca="1">IF(DPAA保額="",IF(總檢核,IF(A84=分齡表最大顯示年齡,"***以下空白***",IF(A85&lt;=分齡表最大顯示年齡,'試算表 (0-15歲)'!B66,"")),""),IF(保費分齡表對應=1,IF(總檢核,IF(A84=分齡表最大顯示年齡,"***以下空白***",IF(A85&lt;=分齡表最大顯示年齡,'試算表 (0-15歲)'!B66,"")),""),""))</f>
        <v/>
      </c>
      <c r="E85" s="252"/>
      <c r="F85" s="252"/>
      <c r="G85" s="250" t="str">
        <f ca="1">IF(DPAA保額="",IF(總檢核,IF(A85="","",SUM('試算表 (0-15歲)'!C66:N66)),""),IF(保費分齡表對應=1,IF(總檢核,IF(A85="","",SUM('試算表 (0-15歲)'!C66:N66)),""),""))</f>
        <v/>
      </c>
      <c r="H85" s="250"/>
      <c r="I85" s="250"/>
      <c r="J85" s="250" t="str">
        <f t="shared" ca="1" si="8"/>
        <v/>
      </c>
      <c r="K85" s="250"/>
      <c r="L85" s="250"/>
      <c r="M85" s="250"/>
      <c r="N85" s="252" t="str">
        <f ca="1">IF(DPAA保額="",IF(總檢核,IF(A85="","",'試算表 (0-15歲)'!O66),""),IF(保費分齡表對應=1,IF(總檢核,IF(A85="","",'試算表 (0-15歲)'!O66),""),""))</f>
        <v/>
      </c>
      <c r="O85" s="252"/>
      <c r="P85" s="252"/>
      <c r="Q85" s="252" t="str">
        <f ca="1">IF(DPAA保額="",IF(總檢核,IF(A85="","",SUM('試算表 (0-15歲)'!P66:AA66)),""),IF(保費分齡表對應=1,IF(總檢核,IF(A85="","",SUM('試算表 (0-15歲)'!P66:AA66)),""),""))</f>
        <v/>
      </c>
      <c r="R85" s="252"/>
      <c r="S85" s="252"/>
      <c r="T85" s="250" t="str">
        <f t="shared" ca="1" si="9"/>
        <v/>
      </c>
      <c r="U85" s="250"/>
      <c r="V85" s="250"/>
      <c r="W85" s="250"/>
    </row>
    <row r="86" spans="1:23" hidden="1">
      <c r="A86" s="251" t="str">
        <f ca="1">IF(DPAA保額="",IF(總檢核,'試算表 (0-15歲)'!A67,""),IF(保費分齡表對應=1,IF(總檢核,'試算表 (0-15歲)'!A67,""),""))</f>
        <v/>
      </c>
      <c r="B86" s="251"/>
      <c r="C86" s="251"/>
      <c r="D86" s="252" t="str">
        <f ca="1">IF(DPAA保額="",IF(總檢核,IF(A85=分齡表最大顯示年齡,"***以下空白***",IF(A86&lt;=分齡表最大顯示年齡,'試算表 (0-15歲)'!B67,"")),""),IF(保費分齡表對應=1,IF(總檢核,IF(A85=分齡表最大顯示年齡,"***以下空白***",IF(A86&lt;=分齡表最大顯示年齡,'試算表 (0-15歲)'!B67,"")),""),""))</f>
        <v/>
      </c>
      <c r="E86" s="252"/>
      <c r="F86" s="252"/>
      <c r="G86" s="250" t="str">
        <f ca="1">IF(DPAA保額="",IF(總檢核,IF(A86="","",SUM('試算表 (0-15歲)'!C67:N67)),""),IF(保費分齡表對應=1,IF(總檢核,IF(A86="","",SUM('試算表 (0-15歲)'!C67:N67)),""),""))</f>
        <v/>
      </c>
      <c r="H86" s="250"/>
      <c r="I86" s="250"/>
      <c r="J86" s="250" t="str">
        <f t="shared" ca="1" si="8"/>
        <v/>
      </c>
      <c r="K86" s="250"/>
      <c r="L86" s="250"/>
      <c r="M86" s="250"/>
      <c r="N86" s="252" t="str">
        <f ca="1">IF(DPAA保額="",IF(總檢核,IF(A86="","",'試算表 (0-15歲)'!O67),""),IF(保費分齡表對應=1,IF(總檢核,IF(A86="","",'試算表 (0-15歲)'!O67),""),""))</f>
        <v/>
      </c>
      <c r="O86" s="252"/>
      <c r="P86" s="252"/>
      <c r="Q86" s="252" t="str">
        <f ca="1">IF(DPAA保額="",IF(總檢核,IF(A86="","",SUM('試算表 (0-15歲)'!P67:AA67)),""),IF(保費分齡表對應=1,IF(總檢核,IF(A86="","",SUM('試算表 (0-15歲)'!P67:AA67)),""),""))</f>
        <v/>
      </c>
      <c r="R86" s="252"/>
      <c r="S86" s="252"/>
      <c r="T86" s="250" t="str">
        <f t="shared" ca="1" si="9"/>
        <v/>
      </c>
      <c r="U86" s="250"/>
      <c r="V86" s="250"/>
      <c r="W86" s="250"/>
    </row>
    <row r="87" spans="1:23" hidden="1">
      <c r="A87" s="251" t="str">
        <f ca="1">IF(DPAA保額="",IF(總檢核,'試算表 (0-15歲)'!A68,""),IF(保費分齡表對應=1,IF(總檢核,'試算表 (0-15歲)'!A68,""),""))</f>
        <v/>
      </c>
      <c r="B87" s="251"/>
      <c r="C87" s="251"/>
      <c r="D87" s="252" t="str">
        <f ca="1">IF(DPAA保額="",IF(總檢核,IF(A86=分齡表最大顯示年齡,"***以下空白***",IF(A87&lt;=分齡表最大顯示年齡,'試算表 (0-15歲)'!B68,"")),""),IF(保費分齡表對應=1,IF(總檢核,IF(A86=分齡表最大顯示年齡,"***以下空白***",IF(A87&lt;=分齡表最大顯示年齡,'試算表 (0-15歲)'!B68,"")),""),""))</f>
        <v/>
      </c>
      <c r="E87" s="252"/>
      <c r="F87" s="252"/>
      <c r="G87" s="250" t="str">
        <f ca="1">IF(DPAA保額="",IF(總檢核,IF(A87="","",SUM('試算表 (0-15歲)'!C68:N68)),""),IF(保費分齡表對應=1,IF(總檢核,IF(A87="","",SUM('試算表 (0-15歲)'!C68:N68)),""),""))</f>
        <v/>
      </c>
      <c r="H87" s="250"/>
      <c r="I87" s="250"/>
      <c r="J87" s="250" t="str">
        <f t="shared" ref="J87:J103" ca="1" si="10">IF(DPAA保額="",IF(總檢核,IF(A87="","",D87+G87),""),IF(保費分齡表對應=1,IF(總檢核,IF(A87="","",D87+G87),""),""))</f>
        <v/>
      </c>
      <c r="K87" s="250"/>
      <c r="L87" s="250"/>
      <c r="M87" s="250"/>
      <c r="N87" s="252" t="str">
        <f ca="1">IF(DPAA保額="",IF(總檢核,IF(A87="","",'試算表 (0-15歲)'!O68),""),IF(保費分齡表對應=1,IF(總檢核,IF(A87="","",'試算表 (0-15歲)'!O68),""),""))</f>
        <v/>
      </c>
      <c r="O87" s="252"/>
      <c r="P87" s="252"/>
      <c r="Q87" s="252" t="str">
        <f ca="1">IF(DPAA保額="",IF(總檢核,IF(A87="","",SUM('試算表 (0-15歲)'!P68:AA68)),""),IF(保費分齡表對應=1,IF(總檢核,IF(A87="","",SUM('試算表 (0-15歲)'!P68:AA68)),""),""))</f>
        <v/>
      </c>
      <c r="R87" s="252"/>
      <c r="S87" s="252"/>
      <c r="T87" s="250" t="str">
        <f t="shared" ref="T87:T103" ca="1" si="11">IF(DPAA保額="",IF(總檢核,IF(A87="","",N87+Q87),""),IF(保費分齡表對應=1,IF(總檢核,IF(A87="","",N87+Q87),""),""))</f>
        <v/>
      </c>
      <c r="U87" s="250"/>
      <c r="V87" s="250"/>
      <c r="W87" s="250"/>
    </row>
    <row r="88" spans="1:23" hidden="1">
      <c r="A88" s="254" t="str">
        <f ca="1">IF(DPAA保額="",IF(總檢核,'試算表 (0-15歲)'!A69,""),IF(保費分齡表對應=1,IF(總檢核,'試算表 (0-15歲)'!A69,""),""))</f>
        <v/>
      </c>
      <c r="B88" s="254"/>
      <c r="C88" s="254"/>
      <c r="D88" s="255" t="str">
        <f ca="1">IF(DPAA保額="",IF(總檢核,IF(A87=分齡表最大顯示年齡,"***以下空白***",IF(A88&lt;=分齡表最大顯示年齡,'試算表 (0-15歲)'!B69,"")),""),IF(保費分齡表對應=1,IF(總檢核,IF(A87=分齡表最大顯示年齡,"***以下空白***",IF(A88&lt;=分齡表最大顯示年齡,'試算表 (0-15歲)'!B69,"")),""),""))</f>
        <v/>
      </c>
      <c r="E88" s="255"/>
      <c r="F88" s="255"/>
      <c r="G88" s="253" t="str">
        <f ca="1">IF(DPAA保額="",IF(總檢核,IF(A88="","",SUM('試算表 (0-15歲)'!C69:N69)),""),IF(保費分齡表對應=1,IF(總檢核,IF(A88="","",SUM('試算表 (0-15歲)'!C69:N69)),""),""))</f>
        <v/>
      </c>
      <c r="H88" s="253"/>
      <c r="I88" s="253"/>
      <c r="J88" s="253" t="str">
        <f t="shared" ca="1" si="10"/>
        <v/>
      </c>
      <c r="K88" s="253"/>
      <c r="L88" s="253"/>
      <c r="M88" s="253"/>
      <c r="N88" s="255" t="str">
        <f ca="1">IF(DPAA保額="",IF(總檢核,IF(A88="","",'試算表 (0-15歲)'!O69),""),IF(保費分齡表對應=1,IF(總檢核,IF(A88="","",'試算表 (0-15歲)'!O69),""),""))</f>
        <v/>
      </c>
      <c r="O88" s="255"/>
      <c r="P88" s="255"/>
      <c r="Q88" s="255" t="str">
        <f ca="1">IF(DPAA保額="",IF(總檢核,IF(A88="","",SUM('試算表 (0-15歲)'!P69:AA69)),""),IF(保費分齡表對應=1,IF(總檢核,IF(A88="","",SUM('試算表 (0-15歲)'!P69:AA69)),""),""))</f>
        <v/>
      </c>
      <c r="R88" s="255"/>
      <c r="S88" s="255"/>
      <c r="T88" s="253" t="str">
        <f t="shared" ca="1" si="11"/>
        <v/>
      </c>
      <c r="U88" s="253"/>
      <c r="V88" s="253"/>
      <c r="W88" s="253"/>
    </row>
    <row r="89" spans="1:23" hidden="1">
      <c r="A89" s="251" t="str">
        <f ca="1">IF(DPAA保額="",IF(總檢核,'試算表 (0-15歲)'!A70,""),IF(保費分齡表對應=1,IF(總檢核,'試算表 (0-15歲)'!A70,""),""))</f>
        <v/>
      </c>
      <c r="B89" s="251"/>
      <c r="C89" s="251"/>
      <c r="D89" s="252" t="str">
        <f ca="1">IF(DPAA保額="",IF(總檢核,IF(A88=分齡表最大顯示年齡,"***以下空白***",IF(A89&lt;=分齡表最大顯示年齡,'試算表 (0-15歲)'!B70,"")),""),IF(保費分齡表對應=1,IF(總檢核,IF(A88=分齡表最大顯示年齡,"***以下空白***",IF(A89&lt;=分齡表最大顯示年齡,'試算表 (0-15歲)'!B70,"")),""),""))</f>
        <v/>
      </c>
      <c r="E89" s="252"/>
      <c r="F89" s="252"/>
      <c r="G89" s="250" t="str">
        <f ca="1">IF(DPAA保額="",IF(總檢核,IF(A89="","",SUM('試算表 (0-15歲)'!C70:N70)),""),IF(保費分齡表對應=1,IF(總檢核,IF(A89="","",SUM('試算表 (0-15歲)'!C70:N70)),""),""))</f>
        <v/>
      </c>
      <c r="H89" s="250"/>
      <c r="I89" s="250"/>
      <c r="J89" s="250" t="str">
        <f t="shared" ca="1" si="10"/>
        <v/>
      </c>
      <c r="K89" s="250"/>
      <c r="L89" s="250"/>
      <c r="M89" s="250"/>
      <c r="N89" s="252" t="str">
        <f ca="1">IF(DPAA保額="",IF(總檢核,IF(A89="","",'試算表 (0-15歲)'!O70),""),IF(保費分齡表對應=1,IF(總檢核,IF(A89="","",'試算表 (0-15歲)'!O70),""),""))</f>
        <v/>
      </c>
      <c r="O89" s="252"/>
      <c r="P89" s="252"/>
      <c r="Q89" s="252" t="str">
        <f ca="1">IF(DPAA保額="",IF(總檢核,IF(A89="","",SUM('試算表 (0-15歲)'!P70:AA70)),""),IF(保費分齡表對應=1,IF(總檢核,IF(A89="","",SUM('試算表 (0-15歲)'!P70:AA70)),""),""))</f>
        <v/>
      </c>
      <c r="R89" s="252"/>
      <c r="S89" s="252"/>
      <c r="T89" s="250" t="str">
        <f t="shared" ca="1" si="11"/>
        <v/>
      </c>
      <c r="U89" s="250"/>
      <c r="V89" s="250"/>
      <c r="W89" s="250"/>
    </row>
    <row r="90" spans="1:23" hidden="1">
      <c r="A90" s="251" t="str">
        <f ca="1">IF(DPAA保額="",IF(總檢核,'試算表 (0-15歲)'!A71,""),IF(保費分齡表對應=1,IF(總檢核,'試算表 (0-15歲)'!A71,""),""))</f>
        <v/>
      </c>
      <c r="B90" s="251"/>
      <c r="C90" s="251"/>
      <c r="D90" s="252" t="str">
        <f ca="1">IF(DPAA保額="",IF(總檢核,IF(A89=分齡表最大顯示年齡,"***以下空白***",IF(A90&lt;=分齡表最大顯示年齡,'試算表 (0-15歲)'!B71,"")),""),IF(保費分齡表對應=1,IF(總檢核,IF(A89=分齡表最大顯示年齡,"***以下空白***",IF(A90&lt;=分齡表最大顯示年齡,'試算表 (0-15歲)'!B71,"")),""),""))</f>
        <v/>
      </c>
      <c r="E90" s="252"/>
      <c r="F90" s="252"/>
      <c r="G90" s="250" t="str">
        <f ca="1">IF(DPAA保額="",IF(總檢核,IF(A90="","",SUM('試算表 (0-15歲)'!C71:N71)),""),IF(保費分齡表對應=1,IF(總檢核,IF(A90="","",SUM('試算表 (0-15歲)'!C71:N71)),""),""))</f>
        <v/>
      </c>
      <c r="H90" s="250"/>
      <c r="I90" s="250"/>
      <c r="J90" s="250" t="str">
        <f t="shared" ca="1" si="10"/>
        <v/>
      </c>
      <c r="K90" s="250"/>
      <c r="L90" s="250"/>
      <c r="M90" s="250"/>
      <c r="N90" s="252" t="str">
        <f ca="1">IF(DPAA保額="",IF(總檢核,IF(A90="","",'試算表 (0-15歲)'!O71),""),IF(保費分齡表對應=1,IF(總檢核,IF(A90="","",'試算表 (0-15歲)'!O71),""),""))</f>
        <v/>
      </c>
      <c r="O90" s="252"/>
      <c r="P90" s="252"/>
      <c r="Q90" s="252" t="str">
        <f ca="1">IF(DPAA保額="",IF(總檢核,IF(A90="","",SUM('試算表 (0-15歲)'!P71:AA71)),""),IF(保費分齡表對應=1,IF(總檢核,IF(A90="","",SUM('試算表 (0-15歲)'!P71:AA71)),""),""))</f>
        <v/>
      </c>
      <c r="R90" s="252"/>
      <c r="S90" s="252"/>
      <c r="T90" s="250" t="str">
        <f t="shared" ca="1" si="11"/>
        <v/>
      </c>
      <c r="U90" s="250"/>
      <c r="V90" s="250"/>
      <c r="W90" s="250"/>
    </row>
    <row r="91" spans="1:23" hidden="1">
      <c r="A91" s="251" t="str">
        <f ca="1">IF(DPAA保額="",IF(總檢核,'試算表 (0-15歲)'!A72,""),IF(保費分齡表對應=1,IF(總檢核,'試算表 (0-15歲)'!A72,""),""))</f>
        <v/>
      </c>
      <c r="B91" s="251"/>
      <c r="C91" s="251"/>
      <c r="D91" s="252" t="str">
        <f ca="1">IF(DPAA保額="",IF(總檢核,IF(A90=分齡表最大顯示年齡,"***以下空白***",IF(A91&lt;=分齡表最大顯示年齡,'試算表 (0-15歲)'!B72,"")),""),IF(保費分齡表對應=1,IF(總檢核,IF(A90=分齡表最大顯示年齡,"***以下空白***",IF(A91&lt;=分齡表最大顯示年齡,'試算表 (0-15歲)'!B72,"")),""),""))</f>
        <v/>
      </c>
      <c r="E91" s="252"/>
      <c r="F91" s="252"/>
      <c r="G91" s="250" t="str">
        <f ca="1">IF(DPAA保額="",IF(總檢核,IF(A91="","",SUM('試算表 (0-15歲)'!C72:N72)),""),IF(保費分齡表對應=1,IF(總檢核,IF(A91="","",SUM('試算表 (0-15歲)'!C72:N72)),""),""))</f>
        <v/>
      </c>
      <c r="H91" s="250"/>
      <c r="I91" s="250"/>
      <c r="J91" s="250" t="str">
        <f t="shared" ca="1" si="10"/>
        <v/>
      </c>
      <c r="K91" s="250"/>
      <c r="L91" s="250"/>
      <c r="M91" s="250"/>
      <c r="N91" s="252" t="str">
        <f ca="1">IF(DPAA保額="",IF(總檢核,IF(A91="","",'試算表 (0-15歲)'!O72),""),IF(保費分齡表對應=1,IF(總檢核,IF(A91="","",'試算表 (0-15歲)'!O72),""),""))</f>
        <v/>
      </c>
      <c r="O91" s="252"/>
      <c r="P91" s="252"/>
      <c r="Q91" s="252" t="str">
        <f ca="1">IF(DPAA保額="",IF(總檢核,IF(A91="","",SUM('試算表 (0-15歲)'!P72:AA72)),""),IF(保費分齡表對應=1,IF(總檢核,IF(A91="","",SUM('試算表 (0-15歲)'!P72:AA72)),""),""))</f>
        <v/>
      </c>
      <c r="R91" s="252"/>
      <c r="S91" s="252"/>
      <c r="T91" s="250" t="str">
        <f t="shared" ca="1" si="11"/>
        <v/>
      </c>
      <c r="U91" s="250"/>
      <c r="V91" s="250"/>
      <c r="W91" s="250"/>
    </row>
    <row r="92" spans="1:23" hidden="1">
      <c r="A92" s="251" t="str">
        <f ca="1">IF(DPAA保額="",IF(總檢核,'試算表 (0-15歲)'!A73,""),IF(保費分齡表對應=1,IF(總檢核,'試算表 (0-15歲)'!A73,""),""))</f>
        <v/>
      </c>
      <c r="B92" s="251"/>
      <c r="C92" s="251"/>
      <c r="D92" s="252" t="str">
        <f ca="1">IF(DPAA保額="",IF(總檢核,IF(A91=分齡表最大顯示年齡,"***以下空白***",IF(A92&lt;=分齡表最大顯示年齡,'試算表 (0-15歲)'!B73,"")),""),IF(保費分齡表對應=1,IF(總檢核,IF(A91=分齡表最大顯示年齡,"***以下空白***",IF(A92&lt;=分齡表最大顯示年齡,'試算表 (0-15歲)'!B73,"")),""),""))</f>
        <v/>
      </c>
      <c r="E92" s="252"/>
      <c r="F92" s="252"/>
      <c r="G92" s="250" t="str">
        <f ca="1">IF(DPAA保額="",IF(總檢核,IF(A92="","",SUM('試算表 (0-15歲)'!C73:N73)),""),IF(保費分齡表對應=1,IF(總檢核,IF(A92="","",SUM('試算表 (0-15歲)'!C73:N73)),""),""))</f>
        <v/>
      </c>
      <c r="H92" s="250"/>
      <c r="I92" s="250"/>
      <c r="J92" s="250" t="str">
        <f t="shared" ca="1" si="10"/>
        <v/>
      </c>
      <c r="K92" s="250"/>
      <c r="L92" s="250"/>
      <c r="M92" s="250"/>
      <c r="N92" s="252" t="str">
        <f ca="1">IF(DPAA保額="",IF(總檢核,IF(A92="","",'試算表 (0-15歲)'!O73),""),IF(保費分齡表對應=1,IF(總檢核,IF(A92="","",'試算表 (0-15歲)'!O73),""),""))</f>
        <v/>
      </c>
      <c r="O92" s="252"/>
      <c r="P92" s="252"/>
      <c r="Q92" s="252" t="str">
        <f ca="1">IF(DPAA保額="",IF(總檢核,IF(A92="","",SUM('試算表 (0-15歲)'!P73:AA73)),""),IF(保費分齡表對應=1,IF(總檢核,IF(A92="","",SUM('試算表 (0-15歲)'!P73:AA73)),""),""))</f>
        <v/>
      </c>
      <c r="R92" s="252"/>
      <c r="S92" s="252"/>
      <c r="T92" s="250" t="str">
        <f t="shared" ca="1" si="11"/>
        <v/>
      </c>
      <c r="U92" s="250"/>
      <c r="V92" s="250"/>
      <c r="W92" s="250"/>
    </row>
    <row r="93" spans="1:23" hidden="1">
      <c r="A93" s="254" t="str">
        <f ca="1">IF(DPAA保額="",IF(總檢核,'試算表 (0-15歲)'!A74,""),IF(保費分齡表對應=1,IF(總檢核,'試算表 (0-15歲)'!A74,""),""))</f>
        <v/>
      </c>
      <c r="B93" s="254"/>
      <c r="C93" s="254"/>
      <c r="D93" s="255" t="str">
        <f ca="1">IF(DPAA保額="",IF(總檢核,IF(A92=分齡表最大顯示年齡,"***以下空白***",IF(A93&lt;=分齡表最大顯示年齡,'試算表 (0-15歲)'!B74,"")),""),IF(保費分齡表對應=1,IF(總檢核,IF(A92=分齡表最大顯示年齡,"***以下空白***",IF(A93&lt;=分齡表最大顯示年齡,'試算表 (0-15歲)'!B74,"")),""),""))</f>
        <v/>
      </c>
      <c r="E93" s="255"/>
      <c r="F93" s="255"/>
      <c r="G93" s="253" t="str">
        <f ca="1">IF(DPAA保額="",IF(總檢核,IF(A93="","",SUM('試算表 (0-15歲)'!C74:N74)),""),IF(保費分齡表對應=1,IF(總檢核,IF(A93="","",SUM('試算表 (0-15歲)'!C74:N74)),""),""))</f>
        <v/>
      </c>
      <c r="H93" s="253"/>
      <c r="I93" s="253"/>
      <c r="J93" s="253" t="str">
        <f t="shared" ca="1" si="10"/>
        <v/>
      </c>
      <c r="K93" s="253"/>
      <c r="L93" s="253"/>
      <c r="M93" s="253"/>
      <c r="N93" s="255" t="str">
        <f ca="1">IF(DPAA保額="",IF(總檢核,IF(A93="","",'試算表 (0-15歲)'!O74),""),IF(保費分齡表對應=1,IF(總檢核,IF(A93="","",'試算表 (0-15歲)'!O74),""),""))</f>
        <v/>
      </c>
      <c r="O93" s="255"/>
      <c r="P93" s="255"/>
      <c r="Q93" s="255" t="str">
        <f ca="1">IF(DPAA保額="",IF(總檢核,IF(A93="","",SUM('試算表 (0-15歲)'!P74:AA74)),""),IF(保費分齡表對應=1,IF(總檢核,IF(A93="","",SUM('試算表 (0-15歲)'!P74:AA74)),""),""))</f>
        <v/>
      </c>
      <c r="R93" s="255"/>
      <c r="S93" s="255"/>
      <c r="T93" s="253" t="str">
        <f t="shared" ca="1" si="11"/>
        <v/>
      </c>
      <c r="U93" s="253"/>
      <c r="V93" s="253"/>
      <c r="W93" s="253"/>
    </row>
    <row r="94" spans="1:23" hidden="1">
      <c r="A94" s="251" t="str">
        <f ca="1">IF(DPAA保額="",IF(總檢核,'試算表 (0-15歲)'!A75,""),IF(保費分齡表對應=1,IF(總檢核,'試算表 (0-15歲)'!A75,""),""))</f>
        <v/>
      </c>
      <c r="B94" s="251"/>
      <c r="C94" s="251"/>
      <c r="D94" s="252" t="str">
        <f ca="1">IF(DPAA保額="",IF(總檢核,IF(A93=分齡表最大顯示年齡,"***以下空白***",IF(A94&lt;=分齡表最大顯示年齡,'試算表 (0-15歲)'!B75,"")),""),IF(保費分齡表對應=1,IF(總檢核,IF(A93=分齡表最大顯示年齡,"***以下空白***",IF(A94&lt;=分齡表最大顯示年齡,'試算表 (0-15歲)'!B75,"")),""),""))</f>
        <v/>
      </c>
      <c r="E94" s="252"/>
      <c r="F94" s="252"/>
      <c r="G94" s="250" t="str">
        <f ca="1">IF(DPAA保額="",IF(總檢核,IF(A94="","",SUM('試算表 (0-15歲)'!C75:N75)),""),IF(保費分齡表對應=1,IF(總檢核,IF(A94="","",SUM('試算表 (0-15歲)'!C75:N75)),""),""))</f>
        <v/>
      </c>
      <c r="H94" s="250"/>
      <c r="I94" s="250"/>
      <c r="J94" s="250" t="str">
        <f t="shared" ca="1" si="10"/>
        <v/>
      </c>
      <c r="K94" s="250"/>
      <c r="L94" s="250"/>
      <c r="M94" s="250"/>
      <c r="N94" s="252" t="str">
        <f ca="1">IF(DPAA保額="",IF(總檢核,IF(A94="","",'試算表 (0-15歲)'!O75),""),IF(保費分齡表對應=1,IF(總檢核,IF(A94="","",'試算表 (0-15歲)'!O75),""),""))</f>
        <v/>
      </c>
      <c r="O94" s="252"/>
      <c r="P94" s="252"/>
      <c r="Q94" s="252" t="str">
        <f ca="1">IF(DPAA保額="",IF(總檢核,IF(A94="","",SUM('試算表 (0-15歲)'!P75:AA75)),""),IF(保費分齡表對應=1,IF(總檢核,IF(A94="","",SUM('試算表 (0-15歲)'!P75:AA75)),""),""))</f>
        <v/>
      </c>
      <c r="R94" s="252"/>
      <c r="S94" s="252"/>
      <c r="T94" s="250" t="str">
        <f t="shared" ca="1" si="11"/>
        <v/>
      </c>
      <c r="U94" s="250"/>
      <c r="V94" s="250"/>
      <c r="W94" s="250"/>
    </row>
    <row r="95" spans="1:23" hidden="1">
      <c r="A95" s="251" t="str">
        <f ca="1">IF(DPAA保額="",IF(總檢核,'試算表 (0-15歲)'!A76,""),IF(保費分齡表對應=1,IF(總檢核,'試算表 (0-15歲)'!A76,""),""))</f>
        <v/>
      </c>
      <c r="B95" s="251"/>
      <c r="C95" s="251"/>
      <c r="D95" s="252" t="str">
        <f ca="1">IF(DPAA保額="",IF(總檢核,IF(A94=分齡表最大顯示年齡,"***以下空白***",IF(A95&lt;=分齡表最大顯示年齡,'試算表 (0-15歲)'!B76,"")),""),IF(保費分齡表對應=1,IF(總檢核,IF(A94=分齡表最大顯示年齡,"***以下空白***",IF(A95&lt;=分齡表最大顯示年齡,'試算表 (0-15歲)'!B76,"")),""),""))</f>
        <v/>
      </c>
      <c r="E95" s="252"/>
      <c r="F95" s="252"/>
      <c r="G95" s="250" t="str">
        <f ca="1">IF(DPAA保額="",IF(總檢核,IF(A95="","",SUM('試算表 (0-15歲)'!C76:N76)),""),IF(保費分齡表對應=1,IF(總檢核,IF(A95="","",SUM('試算表 (0-15歲)'!C76:N76)),""),""))</f>
        <v/>
      </c>
      <c r="H95" s="250"/>
      <c r="I95" s="250"/>
      <c r="J95" s="250" t="str">
        <f t="shared" ca="1" si="10"/>
        <v/>
      </c>
      <c r="K95" s="250"/>
      <c r="L95" s="250"/>
      <c r="M95" s="250"/>
      <c r="N95" s="252" t="str">
        <f ca="1">IF(DPAA保額="",IF(總檢核,IF(A95="","",'試算表 (0-15歲)'!O76),""),IF(保費分齡表對應=1,IF(總檢核,IF(A95="","",'試算表 (0-15歲)'!O76),""),""))</f>
        <v/>
      </c>
      <c r="O95" s="252"/>
      <c r="P95" s="252"/>
      <c r="Q95" s="252" t="str">
        <f ca="1">IF(DPAA保額="",IF(總檢核,IF(A95="","",SUM('試算表 (0-15歲)'!P76:AA76)),""),IF(保費分齡表對應=1,IF(總檢核,IF(A95="","",SUM('試算表 (0-15歲)'!P76:AA76)),""),""))</f>
        <v/>
      </c>
      <c r="R95" s="252"/>
      <c r="S95" s="252"/>
      <c r="T95" s="250" t="str">
        <f t="shared" ca="1" si="11"/>
        <v/>
      </c>
      <c r="U95" s="250"/>
      <c r="V95" s="250"/>
      <c r="W95" s="250"/>
    </row>
    <row r="96" spans="1:23" hidden="1">
      <c r="A96" s="251" t="str">
        <f ca="1">IF(DPAA保額="",IF(總檢核,'試算表 (0-15歲)'!A77,""),IF(保費分齡表對應=1,IF(總檢核,'試算表 (0-15歲)'!A77,""),""))</f>
        <v/>
      </c>
      <c r="B96" s="251"/>
      <c r="C96" s="251"/>
      <c r="D96" s="252" t="str">
        <f ca="1">IF(DPAA保額="",IF(總檢核,IF(A95=分齡表最大顯示年齡,"***以下空白***",IF(A96&lt;=分齡表最大顯示年齡,'試算表 (0-15歲)'!B77,"")),""),IF(保費分齡表對應=1,IF(總檢核,IF(A95=分齡表最大顯示年齡,"***以下空白***",IF(A96&lt;=分齡表最大顯示年齡,'試算表 (0-15歲)'!B77,"")),""),""))</f>
        <v/>
      </c>
      <c r="E96" s="252"/>
      <c r="F96" s="252"/>
      <c r="G96" s="250" t="str">
        <f ca="1">IF(DPAA保額="",IF(總檢核,IF(A96="","",SUM('試算表 (0-15歲)'!C77:N77)),""),IF(保費分齡表對應=1,IF(總檢核,IF(A96="","",SUM('試算表 (0-15歲)'!C77:N77)),""),""))</f>
        <v/>
      </c>
      <c r="H96" s="250"/>
      <c r="I96" s="250"/>
      <c r="J96" s="250" t="str">
        <f t="shared" ca="1" si="10"/>
        <v/>
      </c>
      <c r="K96" s="250"/>
      <c r="L96" s="250"/>
      <c r="M96" s="250"/>
      <c r="N96" s="252" t="str">
        <f ca="1">IF(DPAA保額="",IF(總檢核,IF(A96="","",'試算表 (0-15歲)'!O77),""),IF(保費分齡表對應=1,IF(總檢核,IF(A96="","",'試算表 (0-15歲)'!O77),""),""))</f>
        <v/>
      </c>
      <c r="O96" s="252"/>
      <c r="P96" s="252"/>
      <c r="Q96" s="252" t="str">
        <f ca="1">IF(DPAA保額="",IF(總檢核,IF(A96="","",SUM('試算表 (0-15歲)'!P77:AA77)),""),IF(保費分齡表對應=1,IF(總檢核,IF(A96="","",SUM('試算表 (0-15歲)'!P77:AA77)),""),""))</f>
        <v/>
      </c>
      <c r="R96" s="252"/>
      <c r="S96" s="252"/>
      <c r="T96" s="250" t="str">
        <f t="shared" ca="1" si="11"/>
        <v/>
      </c>
      <c r="U96" s="250"/>
      <c r="V96" s="250"/>
      <c r="W96" s="250"/>
    </row>
    <row r="97" spans="1:23" hidden="1">
      <c r="A97" s="251" t="str">
        <f ca="1">IF(DPAA保額="",IF(總檢核,'試算表 (0-15歲)'!A78,""),IF(保費分齡表對應=1,IF(總檢核,'試算表 (0-15歲)'!A78,""),""))</f>
        <v/>
      </c>
      <c r="B97" s="251"/>
      <c r="C97" s="251"/>
      <c r="D97" s="252" t="str">
        <f ca="1">IF(DPAA保額="",IF(總檢核,IF(A96=分齡表最大顯示年齡,"***以下空白***",IF(A97&lt;=分齡表最大顯示年齡,'試算表 (0-15歲)'!B78,"")),""),IF(保費分齡表對應=1,IF(總檢核,IF(A96=分齡表最大顯示年齡,"***以下空白***",IF(A97&lt;=分齡表最大顯示年齡,'試算表 (0-15歲)'!B78,"")),""),""))</f>
        <v/>
      </c>
      <c r="E97" s="252"/>
      <c r="F97" s="252"/>
      <c r="G97" s="250" t="str">
        <f ca="1">IF(DPAA保額="",IF(總檢核,IF(A97="","",SUM('試算表 (0-15歲)'!C78:N78)),""),IF(保費分齡表對應=1,IF(總檢核,IF(A97="","",SUM('試算表 (0-15歲)'!C78:N78)),""),""))</f>
        <v/>
      </c>
      <c r="H97" s="250"/>
      <c r="I97" s="250"/>
      <c r="J97" s="250" t="str">
        <f t="shared" ca="1" si="10"/>
        <v/>
      </c>
      <c r="K97" s="250"/>
      <c r="L97" s="250"/>
      <c r="M97" s="250"/>
      <c r="N97" s="252" t="str">
        <f ca="1">IF(DPAA保額="",IF(總檢核,IF(A97="","",'試算表 (0-15歲)'!O78),""),IF(保費分齡表對應=1,IF(總檢核,IF(A97="","",'試算表 (0-15歲)'!O78),""),""))</f>
        <v/>
      </c>
      <c r="O97" s="252"/>
      <c r="P97" s="252"/>
      <c r="Q97" s="252" t="str">
        <f ca="1">IF(DPAA保額="",IF(總檢核,IF(A97="","",SUM('試算表 (0-15歲)'!P78:AA78)),""),IF(保費分齡表對應=1,IF(總檢核,IF(A97="","",SUM('試算表 (0-15歲)'!P78:AA78)),""),""))</f>
        <v/>
      </c>
      <c r="R97" s="252"/>
      <c r="S97" s="252"/>
      <c r="T97" s="250" t="str">
        <f t="shared" ca="1" si="11"/>
        <v/>
      </c>
      <c r="U97" s="250"/>
      <c r="V97" s="250"/>
      <c r="W97" s="250"/>
    </row>
    <row r="98" spans="1:23" hidden="1">
      <c r="A98" s="254" t="str">
        <f ca="1">IF(DPAA保額="",IF(總檢核,'試算表 (0-15歲)'!A79,""),IF(保費分齡表對應=1,IF(總檢核,'試算表 (0-15歲)'!A79,""),""))</f>
        <v/>
      </c>
      <c r="B98" s="254"/>
      <c r="C98" s="254"/>
      <c r="D98" s="255" t="str">
        <f ca="1">IF(DPAA保額="",IF(總檢核,IF(A97=分齡表最大顯示年齡,"***以下空白***",IF(A98&lt;=分齡表最大顯示年齡,'試算表 (0-15歲)'!B79,"")),""),IF(保費分齡表對應=1,IF(總檢核,IF(A97=分齡表最大顯示年齡,"***以下空白***",IF(A98&lt;=分齡表最大顯示年齡,'試算表 (0-15歲)'!B79,"")),""),""))</f>
        <v/>
      </c>
      <c r="E98" s="255"/>
      <c r="F98" s="255"/>
      <c r="G98" s="253" t="str">
        <f ca="1">IF(DPAA保額="",IF(總檢核,IF(A98="","",SUM('試算表 (0-15歲)'!C79:N79)),""),IF(保費分齡表對應=1,IF(總檢核,IF(A98="","",SUM('試算表 (0-15歲)'!C79:N79)),""),""))</f>
        <v/>
      </c>
      <c r="H98" s="253"/>
      <c r="I98" s="253"/>
      <c r="J98" s="253" t="str">
        <f t="shared" ca="1" si="10"/>
        <v/>
      </c>
      <c r="K98" s="253"/>
      <c r="L98" s="253"/>
      <c r="M98" s="253"/>
      <c r="N98" s="255" t="str">
        <f ca="1">IF(DPAA保額="",IF(總檢核,IF(A98="","",'試算表 (0-15歲)'!O79),""),IF(保費分齡表對應=1,IF(總檢核,IF(A98="","",'試算表 (0-15歲)'!O79),""),""))</f>
        <v/>
      </c>
      <c r="O98" s="255"/>
      <c r="P98" s="255"/>
      <c r="Q98" s="256" t="str">
        <f ca="1">IF(DPAA保額="",IF(總檢核,IF(A98="","",SUM('試算表 (0-15歲)'!P79:AA79)),""),IF(保費分齡表對應=1,IF(總檢核,IF(A98="","",SUM('試算表 (0-15歲)'!P79:AA79)),""),""))</f>
        <v/>
      </c>
      <c r="R98" s="256"/>
      <c r="S98" s="256"/>
      <c r="T98" s="253" t="str">
        <f t="shared" ca="1" si="11"/>
        <v/>
      </c>
      <c r="U98" s="253"/>
      <c r="V98" s="253"/>
      <c r="W98" s="253"/>
    </row>
    <row r="99" spans="1:23" hidden="1">
      <c r="A99" s="251" t="str">
        <f ca="1">IF(DPAA保額="",IF(總檢核,'試算表 (0-15歲)'!A80,""),IF(保費分齡表對應=1,IF(總檢核,'試算表 (0-15歲)'!A80,""),""))</f>
        <v/>
      </c>
      <c r="B99" s="251"/>
      <c r="C99" s="251"/>
      <c r="D99" s="252" t="str">
        <f ca="1">IF(DPAA保額="",IF(總檢核,IF(A98=分齡表最大顯示年齡,"***以下空白***",IF(A99&lt;=分齡表最大顯示年齡,'試算表 (0-15歲)'!B80,"")),""),IF(保費分齡表對應=1,IF(總檢核,IF(A98=分齡表最大顯示年齡,"***以下空白***",IF(A99&lt;=分齡表最大顯示年齡,'試算表 (0-15歲)'!B80,"")),""),""))</f>
        <v/>
      </c>
      <c r="E99" s="252"/>
      <c r="F99" s="252"/>
      <c r="G99" s="250" t="str">
        <f ca="1">IF(DPAA保額="",IF(總檢核,IF(A99="","",SUM('試算表 (0-15歲)'!C80:N80)),""),IF(保費分齡表對應=1,IF(總檢核,IF(A99="","",SUM('試算表 (0-15歲)'!C80:N80)),""),""))</f>
        <v/>
      </c>
      <c r="H99" s="250"/>
      <c r="I99" s="250"/>
      <c r="J99" s="250" t="str">
        <f t="shared" ca="1" si="10"/>
        <v/>
      </c>
      <c r="K99" s="250"/>
      <c r="L99" s="250"/>
      <c r="M99" s="250"/>
      <c r="N99" s="252" t="str">
        <f ca="1">IF(DPAA保額="",IF(總檢核,IF(A99="","",'試算表 (0-15歲)'!O80),""),IF(保費分齡表對應=1,IF(總檢核,IF(A99="","",'試算表 (0-15歲)'!O80),""),""))</f>
        <v/>
      </c>
      <c r="O99" s="252"/>
      <c r="P99" s="252"/>
      <c r="Q99" s="252" t="str">
        <f ca="1">IF(DPAA保額="",IF(總檢核,IF(A99="","",SUM('試算表 (0-15歲)'!P80:AA80)),""),IF(保費分齡表對應=1,IF(總檢核,IF(A99="","",SUM('試算表 (0-15歲)'!P80:AA80)),""),""))</f>
        <v/>
      </c>
      <c r="R99" s="252"/>
      <c r="S99" s="252"/>
      <c r="T99" s="250" t="str">
        <f t="shared" ca="1" si="11"/>
        <v/>
      </c>
      <c r="U99" s="250"/>
      <c r="V99" s="250"/>
      <c r="W99" s="250"/>
    </row>
    <row r="100" spans="1:23" hidden="1">
      <c r="A100" s="251" t="str">
        <f ca="1">IF(DPAA保額="",IF(總檢核,'試算表 (0-15歲)'!A81,""),IF(保費分齡表對應=1,IF(總檢核,'試算表 (0-15歲)'!A81,""),""))</f>
        <v/>
      </c>
      <c r="B100" s="251"/>
      <c r="C100" s="251"/>
      <c r="D100" s="252" t="str">
        <f ca="1">IF(DPAA保額="",IF(總檢核,IF(A99=分齡表最大顯示年齡,"***以下空白***",IF(A100&lt;=分齡表最大顯示年齡,'試算表 (0-15歲)'!B81,"")),""),IF(保費分齡表對應=1,IF(總檢核,IF(A99=分齡表最大顯示年齡,"***以下空白***",IF(A100&lt;=分齡表最大顯示年齡,'試算表 (0-15歲)'!B81,"")),""),""))</f>
        <v/>
      </c>
      <c r="E100" s="252"/>
      <c r="F100" s="252"/>
      <c r="G100" s="250" t="str">
        <f ca="1">IF(DPAA保額="",IF(總檢核,IF(A100="","",SUM('試算表 (0-15歲)'!C81:N81)),""),IF(保費分齡表對應=1,IF(總檢核,IF(A100="","",SUM('試算表 (0-15歲)'!C81:N81)),""),""))</f>
        <v/>
      </c>
      <c r="H100" s="250"/>
      <c r="I100" s="250"/>
      <c r="J100" s="250" t="str">
        <f t="shared" ca="1" si="10"/>
        <v/>
      </c>
      <c r="K100" s="250"/>
      <c r="L100" s="250"/>
      <c r="M100" s="250"/>
      <c r="N100" s="252" t="str">
        <f ca="1">IF(DPAA保額="",IF(總檢核,IF(A100="","",'試算表 (0-15歲)'!O81),""),IF(保費分齡表對應=1,IF(總檢核,IF(A100="","",'試算表 (0-15歲)'!O81),""),""))</f>
        <v/>
      </c>
      <c r="O100" s="252"/>
      <c r="P100" s="252"/>
      <c r="Q100" s="252" t="str">
        <f ca="1">IF(DPAA保額="",IF(總檢核,IF(A100="","",SUM('試算表 (0-15歲)'!P81:AA81)),""),IF(保費分齡表對應=1,IF(總檢核,IF(A100="","",SUM('試算表 (0-15歲)'!P81:AA81)),""),""))</f>
        <v/>
      </c>
      <c r="R100" s="252"/>
      <c r="S100" s="252"/>
      <c r="T100" s="250" t="str">
        <f t="shared" ca="1" si="11"/>
        <v/>
      </c>
      <c r="U100" s="250"/>
      <c r="V100" s="250"/>
      <c r="W100" s="250"/>
    </row>
    <row r="101" spans="1:23" hidden="1">
      <c r="A101" s="251" t="str">
        <f ca="1">IF(DPAA保額="",IF(總檢核,'試算表 (0-15歲)'!A82,""),IF(保費分齡表對應=1,IF(總檢核,'試算表 (0-15歲)'!A82,""),""))</f>
        <v/>
      </c>
      <c r="B101" s="251"/>
      <c r="C101" s="251"/>
      <c r="D101" s="252" t="str">
        <f ca="1">IF(DPAA保額="",IF(總檢核,IF(A100=分齡表最大顯示年齡,"***以下空白***",IF(A101&lt;=分齡表最大顯示年齡,'試算表 (0-15歲)'!B82,"")),""),IF(保費分齡表對應=1,IF(總檢核,IF(A100=分齡表最大顯示年齡,"***以下空白***",IF(A101&lt;=分齡表最大顯示年齡,'試算表 (0-15歲)'!B82,"")),""),""))</f>
        <v/>
      </c>
      <c r="E101" s="252"/>
      <c r="F101" s="252"/>
      <c r="G101" s="250" t="str">
        <f ca="1">IF(DPAA保額="",IF(總檢核,IF(A101="","",SUM('試算表 (0-15歲)'!C82:N82)),""),IF(保費分齡表對應=1,IF(總檢核,IF(A101="","",SUM('試算表 (0-15歲)'!C82:N82)),""),""))</f>
        <v/>
      </c>
      <c r="H101" s="250"/>
      <c r="I101" s="250"/>
      <c r="J101" s="250" t="str">
        <f t="shared" ca="1" si="10"/>
        <v/>
      </c>
      <c r="K101" s="250"/>
      <c r="L101" s="250"/>
      <c r="M101" s="250"/>
      <c r="N101" s="252" t="str">
        <f ca="1">IF(DPAA保額="",IF(總檢核,IF(A101="","",'試算表 (0-15歲)'!O82),""),IF(保費分齡表對應=1,IF(總檢核,IF(A101="","",'試算表 (0-15歲)'!O82),""),""))</f>
        <v/>
      </c>
      <c r="O101" s="252"/>
      <c r="P101" s="252"/>
      <c r="Q101" s="252" t="str">
        <f ca="1">IF(DPAA保額="",IF(總檢核,IF(A101="","",SUM('試算表 (0-15歲)'!P82:AA82)),""),IF(保費分齡表對應=1,IF(總檢核,IF(A101="","",SUM('試算表 (0-15歲)'!P82:AA82)),""),""))</f>
        <v/>
      </c>
      <c r="R101" s="252"/>
      <c r="S101" s="252"/>
      <c r="T101" s="250" t="str">
        <f t="shared" ca="1" si="11"/>
        <v/>
      </c>
      <c r="U101" s="250"/>
      <c r="V101" s="250"/>
      <c r="W101" s="250"/>
    </row>
    <row r="102" spans="1:23" hidden="1">
      <c r="A102" s="251" t="str">
        <f ca="1">IF(DPAA保額="",IF(總檢核,'試算表 (0-15歲)'!A83,""),IF(保費分齡表對應=1,IF(總檢核,'試算表 (0-15歲)'!A83,""),""))</f>
        <v/>
      </c>
      <c r="B102" s="251"/>
      <c r="C102" s="251"/>
      <c r="D102" s="252" t="str">
        <f ca="1">IF(DPAA保額="",IF(總檢核,IF(A101=分齡表最大顯示年齡,"***以下空白***",IF(A102&lt;=分齡表最大顯示年齡,'試算表 (0-15歲)'!B83,"")),""),IF(保費分齡表對應=1,IF(總檢核,IF(A101=分齡表最大顯示年齡,"***以下空白***",IF(A102&lt;=分齡表最大顯示年齡,'試算表 (0-15歲)'!B83,"")),""),""))</f>
        <v/>
      </c>
      <c r="E102" s="252"/>
      <c r="F102" s="252"/>
      <c r="G102" s="250" t="str">
        <f ca="1">IF(DPAA保額="",IF(總檢核,IF(A102="","",SUM('試算表 (0-15歲)'!C83:N83)),""),IF(保費分齡表對應=1,IF(總檢核,IF(A102="","",SUM('試算表 (0-15歲)'!C83:N83)),""),""))</f>
        <v/>
      </c>
      <c r="H102" s="250"/>
      <c r="I102" s="250"/>
      <c r="J102" s="250" t="str">
        <f t="shared" ca="1" si="10"/>
        <v/>
      </c>
      <c r="K102" s="250"/>
      <c r="L102" s="250"/>
      <c r="M102" s="250"/>
      <c r="N102" s="252" t="str">
        <f ca="1">IF(DPAA保額="",IF(總檢核,IF(A102="","",'試算表 (0-15歲)'!O83),""),IF(保費分齡表對應=1,IF(總檢核,IF(A102="","",'試算表 (0-15歲)'!O83),""),""))</f>
        <v/>
      </c>
      <c r="O102" s="252"/>
      <c r="P102" s="252"/>
      <c r="Q102" s="252" t="str">
        <f ca="1">IF(DPAA保額="",IF(總檢核,IF(A102="","",SUM('試算表 (0-15歲)'!P83:AA83)),""),IF(保費分齡表對應=1,IF(總檢核,IF(A102="","",SUM('試算表 (0-15歲)'!P83:AA83)),""),""))</f>
        <v/>
      </c>
      <c r="R102" s="252"/>
      <c r="S102" s="252"/>
      <c r="T102" s="250" t="str">
        <f t="shared" ca="1" si="11"/>
        <v/>
      </c>
      <c r="U102" s="250"/>
      <c r="V102" s="250"/>
      <c r="W102" s="250"/>
    </row>
    <row r="103" spans="1:23" ht="16" hidden="1" thickBot="1">
      <c r="A103" s="259" t="str">
        <f ca="1">IF(DPAA保額="",IF(總檢核,'試算表 (0-15歲)'!A84,""),IF(保費分齡表對應=1,IF(總檢核,'試算表 (0-15歲)'!A84,""),""))</f>
        <v/>
      </c>
      <c r="B103" s="259"/>
      <c r="C103" s="259"/>
      <c r="D103" s="260" t="str">
        <f ca="1">IF(DPAA保額="",IF(總檢核,IF(A102=分齡表最大顯示年齡,"***以下空白***",IF(A103&lt;=分齡表最大顯示年齡,'試算表 (0-15歲)'!B84,"")),""),IF(保費分齡表對應=1,IF(總檢核,IF(A102=分齡表最大顯示年齡,"***以下空白***",IF(A103&lt;=分齡表最大顯示年齡,'試算表 (0-15歲)'!B84,"")),""),""))</f>
        <v/>
      </c>
      <c r="E103" s="260"/>
      <c r="F103" s="260"/>
      <c r="G103" s="257" t="str">
        <f ca="1">IF(DPAA保額="",IF(總檢核,IF(A103="","",SUM('試算表 (0-15歲)'!C84:N84)),""),IF(保費分齡表對應=1,IF(總檢核,IF(A103="","",SUM('試算表 (0-15歲)'!C84:N84)),""),""))</f>
        <v/>
      </c>
      <c r="H103" s="257"/>
      <c r="I103" s="257"/>
      <c r="J103" s="257" t="str">
        <f t="shared" ca="1" si="10"/>
        <v/>
      </c>
      <c r="K103" s="257"/>
      <c r="L103" s="257"/>
      <c r="M103" s="257"/>
      <c r="N103" s="260" t="str">
        <f ca="1">IF(DPAA保額="",IF(總檢核,IF(A103="","",'試算表 (0-15歲)'!O84),""),IF(保費分齡表對應=1,IF(總檢核,IF(A103="","",'試算表 (0-15歲)'!O84),""),""))</f>
        <v/>
      </c>
      <c r="O103" s="260"/>
      <c r="P103" s="260"/>
      <c r="Q103" s="260" t="str">
        <f ca="1">IF(DPAA保額="",IF(總檢核,IF(A103="","",SUM('試算表 (0-15歲)'!P84:AA84)),""),IF(保費分齡表對應=1,IF(總檢核,IF(A103="","",SUM('試算表 (0-15歲)'!P84:AA84)),""),""))</f>
        <v/>
      </c>
      <c r="R103" s="260"/>
      <c r="S103" s="260"/>
      <c r="T103" s="257" t="str">
        <f t="shared" ca="1" si="11"/>
        <v/>
      </c>
      <c r="U103" s="257"/>
      <c r="V103" s="257"/>
      <c r="W103" s="257"/>
    </row>
    <row r="104" spans="1:23" ht="18.5">
      <c r="A104" s="89" t="s">
        <v>176</v>
      </c>
      <c r="B104" s="258" t="s">
        <v>189</v>
      </c>
      <c r="C104" s="258"/>
      <c r="D104" s="258"/>
      <c r="E104" s="258"/>
      <c r="F104" s="258"/>
      <c r="G104" s="258"/>
      <c r="H104" s="258"/>
      <c r="I104" s="258"/>
      <c r="J104" s="258"/>
      <c r="K104" s="258"/>
      <c r="L104" s="258"/>
      <c r="M104" s="258"/>
      <c r="N104" s="258"/>
      <c r="O104" s="258"/>
      <c r="P104" s="258"/>
      <c r="Q104" s="258"/>
      <c r="R104" s="258"/>
      <c r="S104" s="258"/>
      <c r="T104" s="258"/>
      <c r="U104" s="258"/>
      <c r="V104" s="258"/>
      <c r="W104" s="258"/>
    </row>
    <row r="105" spans="1:23">
      <c r="A105" s="89" t="s">
        <v>176</v>
      </c>
      <c r="B105" s="258" t="s">
        <v>190</v>
      </c>
      <c r="C105" s="258"/>
      <c r="D105" s="258"/>
      <c r="E105" s="258"/>
      <c r="F105" s="258"/>
      <c r="G105" s="258"/>
      <c r="H105" s="258"/>
      <c r="I105" s="258"/>
      <c r="J105" s="258"/>
      <c r="K105" s="258"/>
      <c r="L105" s="258"/>
      <c r="M105" s="258"/>
      <c r="N105" s="258"/>
      <c r="O105" s="258"/>
      <c r="P105" s="258"/>
      <c r="Q105" s="258"/>
      <c r="R105" s="258"/>
      <c r="S105" s="258"/>
      <c r="T105" s="258"/>
      <c r="U105" s="258"/>
      <c r="V105" s="258"/>
      <c r="W105" s="258"/>
    </row>
    <row r="106" spans="1:23" ht="31.9" customHeight="1">
      <c r="A106" s="89" t="s">
        <v>176</v>
      </c>
      <c r="B106" s="231" t="s">
        <v>181</v>
      </c>
      <c r="C106" s="231"/>
      <c r="D106" s="231"/>
      <c r="E106" s="231"/>
      <c r="F106" s="231"/>
      <c r="G106" s="231"/>
      <c r="H106" s="231"/>
      <c r="I106" s="231"/>
      <c r="J106" s="231"/>
      <c r="K106" s="231"/>
      <c r="L106" s="231"/>
      <c r="M106" s="231"/>
      <c r="N106" s="231"/>
      <c r="O106" s="231"/>
      <c r="P106" s="231"/>
      <c r="Q106" s="231"/>
      <c r="R106" s="231"/>
      <c r="S106" s="231"/>
      <c r="T106" s="231"/>
      <c r="U106" s="231"/>
      <c r="V106" s="231"/>
      <c r="W106" s="231"/>
    </row>
  </sheetData>
  <sheetProtection algorithmName="SHA-512" hashValue="Z8vljY+l0kXmrA/Nk7/ywGAVi/kaI0rPAN9pU3JagCUL3TKQwf9c6CH1O7Szr+mKXdI4TzHdgNZde/WsS5HO4g==" saltValue="fcCBtXtWC/nqypUviWcRyg==" spinCount="100000" sheet="1" selectLockedCells="1"/>
  <mergeCells count="646">
    <mergeCell ref="T103:W103"/>
    <mergeCell ref="B104:W104"/>
    <mergeCell ref="B105:W105"/>
    <mergeCell ref="B106:W106"/>
    <mergeCell ref="A103:C103"/>
    <mergeCell ref="D103:F103"/>
    <mergeCell ref="G103:I103"/>
    <mergeCell ref="J103:M103"/>
    <mergeCell ref="N103:P103"/>
    <mergeCell ref="Q103:S103"/>
    <mergeCell ref="T101:W101"/>
    <mergeCell ref="A102:C102"/>
    <mergeCell ref="D102:F102"/>
    <mergeCell ref="G102:I102"/>
    <mergeCell ref="J102:M102"/>
    <mergeCell ref="N102:P102"/>
    <mergeCell ref="Q102:S102"/>
    <mergeCell ref="T102:W102"/>
    <mergeCell ref="A101:C101"/>
    <mergeCell ref="D101:F101"/>
    <mergeCell ref="G101:I101"/>
    <mergeCell ref="J101:M101"/>
    <mergeCell ref="N101:P101"/>
    <mergeCell ref="Q101:S101"/>
    <mergeCell ref="T99:W99"/>
    <mergeCell ref="A100:C100"/>
    <mergeCell ref="D100:F100"/>
    <mergeCell ref="G100:I100"/>
    <mergeCell ref="J100:M100"/>
    <mergeCell ref="N100:P100"/>
    <mergeCell ref="Q100:S100"/>
    <mergeCell ref="T100:W100"/>
    <mergeCell ref="A99:C99"/>
    <mergeCell ref="D99:F99"/>
    <mergeCell ref="G99:I99"/>
    <mergeCell ref="J99:M99"/>
    <mergeCell ref="N99:P99"/>
    <mergeCell ref="Q99:S99"/>
    <mergeCell ref="T97:W97"/>
    <mergeCell ref="A98:C98"/>
    <mergeCell ref="D98:F98"/>
    <mergeCell ref="G98:I98"/>
    <mergeCell ref="J98:M98"/>
    <mergeCell ref="N98:P98"/>
    <mergeCell ref="Q98:S98"/>
    <mergeCell ref="T98:W98"/>
    <mergeCell ref="A97:C97"/>
    <mergeCell ref="D97:F97"/>
    <mergeCell ref="G97:I97"/>
    <mergeCell ref="J97:M97"/>
    <mergeCell ref="N97:P97"/>
    <mergeCell ref="Q97:S97"/>
    <mergeCell ref="T95:W95"/>
    <mergeCell ref="A96:C96"/>
    <mergeCell ref="D96:F96"/>
    <mergeCell ref="G96:I96"/>
    <mergeCell ref="J96:M96"/>
    <mergeCell ref="N96:P96"/>
    <mergeCell ref="Q96:S96"/>
    <mergeCell ref="T96:W96"/>
    <mergeCell ref="A95:C95"/>
    <mergeCell ref="D95:F95"/>
    <mergeCell ref="G95:I95"/>
    <mergeCell ref="J95:M95"/>
    <mergeCell ref="N95:P95"/>
    <mergeCell ref="Q95:S95"/>
    <mergeCell ref="T93:W93"/>
    <mergeCell ref="A94:C94"/>
    <mergeCell ref="D94:F94"/>
    <mergeCell ref="G94:I94"/>
    <mergeCell ref="J94:M94"/>
    <mergeCell ref="N94:P94"/>
    <mergeCell ref="Q94:S94"/>
    <mergeCell ref="T94:W94"/>
    <mergeCell ref="A93:C93"/>
    <mergeCell ref="D93:F93"/>
    <mergeCell ref="G93:I93"/>
    <mergeCell ref="J93:M93"/>
    <mergeCell ref="N93:P93"/>
    <mergeCell ref="Q93:S93"/>
    <mergeCell ref="T91:W91"/>
    <mergeCell ref="A92:C92"/>
    <mergeCell ref="D92:F92"/>
    <mergeCell ref="G92:I92"/>
    <mergeCell ref="J92:M92"/>
    <mergeCell ref="N92:P92"/>
    <mergeCell ref="Q92:S92"/>
    <mergeCell ref="T92:W92"/>
    <mergeCell ref="A91:C91"/>
    <mergeCell ref="D91:F91"/>
    <mergeCell ref="G91:I91"/>
    <mergeCell ref="J91:M91"/>
    <mergeCell ref="N91:P91"/>
    <mergeCell ref="Q91:S91"/>
    <mergeCell ref="T89:W89"/>
    <mergeCell ref="A90:C90"/>
    <mergeCell ref="D90:F90"/>
    <mergeCell ref="G90:I90"/>
    <mergeCell ref="J90:M90"/>
    <mergeCell ref="N90:P90"/>
    <mergeCell ref="Q90:S90"/>
    <mergeCell ref="T90:W90"/>
    <mergeCell ref="A89:C89"/>
    <mergeCell ref="D89:F89"/>
    <mergeCell ref="G89:I89"/>
    <mergeCell ref="J89:M89"/>
    <mergeCell ref="N89:P89"/>
    <mergeCell ref="Q89:S89"/>
    <mergeCell ref="T87:W87"/>
    <mergeCell ref="A88:C88"/>
    <mergeCell ref="D88:F88"/>
    <mergeCell ref="G88:I88"/>
    <mergeCell ref="J88:M88"/>
    <mergeCell ref="N88:P88"/>
    <mergeCell ref="Q88:S88"/>
    <mergeCell ref="T88:W88"/>
    <mergeCell ref="A87:C87"/>
    <mergeCell ref="D87:F87"/>
    <mergeCell ref="G87:I87"/>
    <mergeCell ref="J87:M87"/>
    <mergeCell ref="N87:P87"/>
    <mergeCell ref="Q87:S87"/>
    <mergeCell ref="T85:W85"/>
    <mergeCell ref="A86:C86"/>
    <mergeCell ref="D86:F86"/>
    <mergeCell ref="G86:I86"/>
    <mergeCell ref="J86:M86"/>
    <mergeCell ref="N86:P86"/>
    <mergeCell ref="Q86:S86"/>
    <mergeCell ref="T86:W86"/>
    <mergeCell ref="A85:C85"/>
    <mergeCell ref="D85:F85"/>
    <mergeCell ref="G85:I85"/>
    <mergeCell ref="J85:M85"/>
    <mergeCell ref="N85:P85"/>
    <mergeCell ref="Q85:S85"/>
    <mergeCell ref="T83:W83"/>
    <mergeCell ref="A84:C84"/>
    <mergeCell ref="D84:F84"/>
    <mergeCell ref="G84:I84"/>
    <mergeCell ref="J84:M84"/>
    <mergeCell ref="N84:P84"/>
    <mergeCell ref="Q84:S84"/>
    <mergeCell ref="T84:W84"/>
    <mergeCell ref="A83:C83"/>
    <mergeCell ref="D83:F83"/>
    <mergeCell ref="G83:I83"/>
    <mergeCell ref="J83:M83"/>
    <mergeCell ref="N83:P83"/>
    <mergeCell ref="Q83:S83"/>
    <mergeCell ref="T81:W81"/>
    <mergeCell ref="A82:C82"/>
    <mergeCell ref="D82:F82"/>
    <mergeCell ref="G82:I82"/>
    <mergeCell ref="J82:M82"/>
    <mergeCell ref="N82:P82"/>
    <mergeCell ref="Q82:S82"/>
    <mergeCell ref="T82:W82"/>
    <mergeCell ref="A81:C81"/>
    <mergeCell ref="D81:F81"/>
    <mergeCell ref="G81:I81"/>
    <mergeCell ref="J81:M81"/>
    <mergeCell ref="N81:P81"/>
    <mergeCell ref="Q81:S81"/>
    <mergeCell ref="T79:W79"/>
    <mergeCell ref="A80:C80"/>
    <mergeCell ref="D80:F80"/>
    <mergeCell ref="G80:I80"/>
    <mergeCell ref="J80:M80"/>
    <mergeCell ref="N80:P80"/>
    <mergeCell ref="Q80:S80"/>
    <mergeCell ref="T80:W80"/>
    <mergeCell ref="A79:C79"/>
    <mergeCell ref="D79:F79"/>
    <mergeCell ref="G79:I79"/>
    <mergeCell ref="J79:M79"/>
    <mergeCell ref="N79:P79"/>
    <mergeCell ref="Q79:S79"/>
    <mergeCell ref="T77:W77"/>
    <mergeCell ref="A78:C78"/>
    <mergeCell ref="D78:F78"/>
    <mergeCell ref="G78:I78"/>
    <mergeCell ref="J78:M78"/>
    <mergeCell ref="N78:P78"/>
    <mergeCell ref="Q78:S78"/>
    <mergeCell ref="T78:W78"/>
    <mergeCell ref="A77:C77"/>
    <mergeCell ref="D77:F77"/>
    <mergeCell ref="G77:I77"/>
    <mergeCell ref="J77:M77"/>
    <mergeCell ref="N77:P77"/>
    <mergeCell ref="Q77:S77"/>
    <mergeCell ref="T75:W75"/>
    <mergeCell ref="A76:C76"/>
    <mergeCell ref="D76:F76"/>
    <mergeCell ref="G76:I76"/>
    <mergeCell ref="J76:M76"/>
    <mergeCell ref="N76:P76"/>
    <mergeCell ref="Q76:S76"/>
    <mergeCell ref="T76:W76"/>
    <mergeCell ref="A75:C75"/>
    <mergeCell ref="D75:F75"/>
    <mergeCell ref="G75:I75"/>
    <mergeCell ref="J75:M75"/>
    <mergeCell ref="N75:P75"/>
    <mergeCell ref="Q75:S75"/>
    <mergeCell ref="T73:W73"/>
    <mergeCell ref="A74:C74"/>
    <mergeCell ref="D74:F74"/>
    <mergeCell ref="G74:I74"/>
    <mergeCell ref="J74:M74"/>
    <mergeCell ref="N74:P74"/>
    <mergeCell ref="Q74:S74"/>
    <mergeCell ref="T74:W74"/>
    <mergeCell ref="A73:C73"/>
    <mergeCell ref="D73:F73"/>
    <mergeCell ref="G73:I73"/>
    <mergeCell ref="J73:M73"/>
    <mergeCell ref="N73:P73"/>
    <mergeCell ref="Q73:S73"/>
    <mergeCell ref="T71:W71"/>
    <mergeCell ref="A72:C72"/>
    <mergeCell ref="D72:F72"/>
    <mergeCell ref="G72:I72"/>
    <mergeCell ref="J72:M72"/>
    <mergeCell ref="N72:P72"/>
    <mergeCell ref="Q72:S72"/>
    <mergeCell ref="T72:W72"/>
    <mergeCell ref="A71:C71"/>
    <mergeCell ref="D71:F71"/>
    <mergeCell ref="G71:I71"/>
    <mergeCell ref="J71:M71"/>
    <mergeCell ref="N71:P71"/>
    <mergeCell ref="Q71:S71"/>
    <mergeCell ref="T69:W69"/>
    <mergeCell ref="A70:C70"/>
    <mergeCell ref="D70:F70"/>
    <mergeCell ref="G70:I70"/>
    <mergeCell ref="J70:M70"/>
    <mergeCell ref="N70:P70"/>
    <mergeCell ref="Q70:S70"/>
    <mergeCell ref="T70:W70"/>
    <mergeCell ref="A69:C69"/>
    <mergeCell ref="D69:F69"/>
    <mergeCell ref="G69:I69"/>
    <mergeCell ref="J69:M69"/>
    <mergeCell ref="N69:P69"/>
    <mergeCell ref="Q69:S69"/>
    <mergeCell ref="T67:W67"/>
    <mergeCell ref="A68:C68"/>
    <mergeCell ref="D68:F68"/>
    <mergeCell ref="G68:I68"/>
    <mergeCell ref="J68:M68"/>
    <mergeCell ref="N68:P68"/>
    <mergeCell ref="Q68:S68"/>
    <mergeCell ref="T68:W68"/>
    <mergeCell ref="A67:C67"/>
    <mergeCell ref="D67:F67"/>
    <mergeCell ref="G67:I67"/>
    <mergeCell ref="J67:M67"/>
    <mergeCell ref="N67:P67"/>
    <mergeCell ref="Q67:S67"/>
    <mergeCell ref="T65:W65"/>
    <mergeCell ref="A66:C66"/>
    <mergeCell ref="D66:F66"/>
    <mergeCell ref="G66:I66"/>
    <mergeCell ref="J66:M66"/>
    <mergeCell ref="N66:P66"/>
    <mergeCell ref="Q66:S66"/>
    <mergeCell ref="T66:W66"/>
    <mergeCell ref="A65:C65"/>
    <mergeCell ref="D65:F65"/>
    <mergeCell ref="G65:I65"/>
    <mergeCell ref="J65:M65"/>
    <mergeCell ref="N65:P65"/>
    <mergeCell ref="Q65:S65"/>
    <mergeCell ref="T63:W63"/>
    <mergeCell ref="A64:C64"/>
    <mergeCell ref="D64:F64"/>
    <mergeCell ref="G64:I64"/>
    <mergeCell ref="J64:M64"/>
    <mergeCell ref="N64:P64"/>
    <mergeCell ref="Q64:S64"/>
    <mergeCell ref="T64:W64"/>
    <mergeCell ref="A63:C63"/>
    <mergeCell ref="D63:F63"/>
    <mergeCell ref="G63:I63"/>
    <mergeCell ref="J63:M63"/>
    <mergeCell ref="N63:P63"/>
    <mergeCell ref="Q63:S63"/>
    <mergeCell ref="T61:W61"/>
    <mergeCell ref="A62:C62"/>
    <mergeCell ref="D62:F62"/>
    <mergeCell ref="G62:I62"/>
    <mergeCell ref="J62:M62"/>
    <mergeCell ref="N62:P62"/>
    <mergeCell ref="Q62:S62"/>
    <mergeCell ref="T62:W62"/>
    <mergeCell ref="A61:C61"/>
    <mergeCell ref="D61:F61"/>
    <mergeCell ref="G61:I61"/>
    <mergeCell ref="J61:M61"/>
    <mergeCell ref="N61:P61"/>
    <mergeCell ref="Q61:S61"/>
    <mergeCell ref="T59:W59"/>
    <mergeCell ref="A60:C60"/>
    <mergeCell ref="D60:F60"/>
    <mergeCell ref="G60:I60"/>
    <mergeCell ref="J60:M60"/>
    <mergeCell ref="N60:P60"/>
    <mergeCell ref="Q60:S60"/>
    <mergeCell ref="T60:W60"/>
    <mergeCell ref="A59:C59"/>
    <mergeCell ref="D59:F59"/>
    <mergeCell ref="G59:I59"/>
    <mergeCell ref="J59:M59"/>
    <mergeCell ref="N59:P59"/>
    <mergeCell ref="Q59:S59"/>
    <mergeCell ref="T57:W57"/>
    <mergeCell ref="A58:C58"/>
    <mergeCell ref="D58:F58"/>
    <mergeCell ref="G58:I58"/>
    <mergeCell ref="J58:M58"/>
    <mergeCell ref="N58:P58"/>
    <mergeCell ref="Q58:S58"/>
    <mergeCell ref="T58:W58"/>
    <mergeCell ref="A57:C57"/>
    <mergeCell ref="D57:F57"/>
    <mergeCell ref="G57:I57"/>
    <mergeCell ref="J57:M57"/>
    <mergeCell ref="N57:P57"/>
    <mergeCell ref="Q57:S57"/>
    <mergeCell ref="T55:W55"/>
    <mergeCell ref="A56:C56"/>
    <mergeCell ref="D56:F56"/>
    <mergeCell ref="G56:I56"/>
    <mergeCell ref="J56:M56"/>
    <mergeCell ref="N56:P56"/>
    <mergeCell ref="Q56:S56"/>
    <mergeCell ref="T56:W56"/>
    <mergeCell ref="A55:C55"/>
    <mergeCell ref="D55:F55"/>
    <mergeCell ref="G55:I55"/>
    <mergeCell ref="J55:M55"/>
    <mergeCell ref="N55:P55"/>
    <mergeCell ref="Q55:S55"/>
    <mergeCell ref="T53:W53"/>
    <mergeCell ref="A54:C54"/>
    <mergeCell ref="D54:F54"/>
    <mergeCell ref="G54:I54"/>
    <mergeCell ref="J54:M54"/>
    <mergeCell ref="N54:P54"/>
    <mergeCell ref="Q54:S54"/>
    <mergeCell ref="T54:W54"/>
    <mergeCell ref="A53:C53"/>
    <mergeCell ref="D53:F53"/>
    <mergeCell ref="G53:I53"/>
    <mergeCell ref="J53:M53"/>
    <mergeCell ref="N53:P53"/>
    <mergeCell ref="Q53:S53"/>
    <mergeCell ref="T51:W51"/>
    <mergeCell ref="A52:C52"/>
    <mergeCell ref="D52:F52"/>
    <mergeCell ref="G52:I52"/>
    <mergeCell ref="J52:M52"/>
    <mergeCell ref="N52:P52"/>
    <mergeCell ref="Q52:S52"/>
    <mergeCell ref="T52:W52"/>
    <mergeCell ref="A51:C51"/>
    <mergeCell ref="D51:F51"/>
    <mergeCell ref="G51:I51"/>
    <mergeCell ref="J51:M51"/>
    <mergeCell ref="N51:P51"/>
    <mergeCell ref="Q51:S51"/>
    <mergeCell ref="T49:W49"/>
    <mergeCell ref="A50:C50"/>
    <mergeCell ref="D50:F50"/>
    <mergeCell ref="G50:I50"/>
    <mergeCell ref="J50:M50"/>
    <mergeCell ref="N50:P50"/>
    <mergeCell ref="Q50:S50"/>
    <mergeCell ref="T50:W50"/>
    <mergeCell ref="A49:C49"/>
    <mergeCell ref="D49:F49"/>
    <mergeCell ref="G49:I49"/>
    <mergeCell ref="J49:M49"/>
    <mergeCell ref="N49:P49"/>
    <mergeCell ref="Q49:S49"/>
    <mergeCell ref="T47:W47"/>
    <mergeCell ref="A48:C48"/>
    <mergeCell ref="D48:F48"/>
    <mergeCell ref="G48:I48"/>
    <mergeCell ref="J48:M48"/>
    <mergeCell ref="N48:P48"/>
    <mergeCell ref="Q48:S48"/>
    <mergeCell ref="T48:W48"/>
    <mergeCell ref="A47:C47"/>
    <mergeCell ref="D47:F47"/>
    <mergeCell ref="G47:I47"/>
    <mergeCell ref="J47:M47"/>
    <mergeCell ref="N47:P47"/>
    <mergeCell ref="Q47:S47"/>
    <mergeCell ref="T45:W45"/>
    <mergeCell ref="A46:C46"/>
    <mergeCell ref="D46:F46"/>
    <mergeCell ref="G46:I46"/>
    <mergeCell ref="J46:M46"/>
    <mergeCell ref="N46:P46"/>
    <mergeCell ref="Q46:S46"/>
    <mergeCell ref="T46:W46"/>
    <mergeCell ref="A45:C45"/>
    <mergeCell ref="D45:F45"/>
    <mergeCell ref="G45:I45"/>
    <mergeCell ref="J45:M45"/>
    <mergeCell ref="N45:P45"/>
    <mergeCell ref="Q45:S45"/>
    <mergeCell ref="T43:W43"/>
    <mergeCell ref="A44:C44"/>
    <mergeCell ref="D44:F44"/>
    <mergeCell ref="G44:I44"/>
    <mergeCell ref="J44:M44"/>
    <mergeCell ref="N44:P44"/>
    <mergeCell ref="Q44:S44"/>
    <mergeCell ref="T44:W44"/>
    <mergeCell ref="A43:C43"/>
    <mergeCell ref="D43:F43"/>
    <mergeCell ref="G43:I43"/>
    <mergeCell ref="J43:M43"/>
    <mergeCell ref="N43:P43"/>
    <mergeCell ref="Q43:S43"/>
    <mergeCell ref="T41:W41"/>
    <mergeCell ref="A42:C42"/>
    <mergeCell ref="D42:F42"/>
    <mergeCell ref="G42:I42"/>
    <mergeCell ref="J42:M42"/>
    <mergeCell ref="N42:P42"/>
    <mergeCell ref="Q42:S42"/>
    <mergeCell ref="T42:W42"/>
    <mergeCell ref="A41:C41"/>
    <mergeCell ref="D41:F41"/>
    <mergeCell ref="G41:I41"/>
    <mergeCell ref="J41:M41"/>
    <mergeCell ref="N41:P41"/>
    <mergeCell ref="Q41:S41"/>
    <mergeCell ref="T39:W39"/>
    <mergeCell ref="A40:C40"/>
    <mergeCell ref="D40:F40"/>
    <mergeCell ref="G40:I40"/>
    <mergeCell ref="J40:M40"/>
    <mergeCell ref="N40:P40"/>
    <mergeCell ref="Q40:S40"/>
    <mergeCell ref="T40:W40"/>
    <mergeCell ref="A39:C39"/>
    <mergeCell ref="D39:F39"/>
    <mergeCell ref="G39:I39"/>
    <mergeCell ref="J39:M39"/>
    <mergeCell ref="N39:P39"/>
    <mergeCell ref="Q39:S39"/>
    <mergeCell ref="T37:W37"/>
    <mergeCell ref="A38:C38"/>
    <mergeCell ref="D38:F38"/>
    <mergeCell ref="G38:I38"/>
    <mergeCell ref="J38:M38"/>
    <mergeCell ref="N38:P38"/>
    <mergeCell ref="Q38:S38"/>
    <mergeCell ref="T38:W38"/>
    <mergeCell ref="A37:C37"/>
    <mergeCell ref="D37:F37"/>
    <mergeCell ref="G37:I37"/>
    <mergeCell ref="J37:M37"/>
    <mergeCell ref="N37:P37"/>
    <mergeCell ref="Q37:S37"/>
    <mergeCell ref="T35:W35"/>
    <mergeCell ref="A36:C36"/>
    <mergeCell ref="D36:F36"/>
    <mergeCell ref="G36:I36"/>
    <mergeCell ref="J36:M36"/>
    <mergeCell ref="N36:P36"/>
    <mergeCell ref="Q36:S36"/>
    <mergeCell ref="T36:W36"/>
    <mergeCell ref="A35:C35"/>
    <mergeCell ref="D35:F35"/>
    <mergeCell ref="G35:I35"/>
    <mergeCell ref="J35:M35"/>
    <mergeCell ref="N35:P35"/>
    <mergeCell ref="Q35:S35"/>
    <mergeCell ref="T33:W33"/>
    <mergeCell ref="A34:C34"/>
    <mergeCell ref="D34:F34"/>
    <mergeCell ref="G34:I34"/>
    <mergeCell ref="J34:M34"/>
    <mergeCell ref="N34:P34"/>
    <mergeCell ref="Q34:S34"/>
    <mergeCell ref="T34:W34"/>
    <mergeCell ref="A33:C33"/>
    <mergeCell ref="D33:F33"/>
    <mergeCell ref="G33:I33"/>
    <mergeCell ref="J33:M33"/>
    <mergeCell ref="N33:P33"/>
    <mergeCell ref="Q33:S33"/>
    <mergeCell ref="T31:W31"/>
    <mergeCell ref="A32:C32"/>
    <mergeCell ref="D32:F32"/>
    <mergeCell ref="G32:I32"/>
    <mergeCell ref="J32:M32"/>
    <mergeCell ref="N32:P32"/>
    <mergeCell ref="Q32:S32"/>
    <mergeCell ref="T32:W32"/>
    <mergeCell ref="A31:C31"/>
    <mergeCell ref="D31:F31"/>
    <mergeCell ref="G31:I31"/>
    <mergeCell ref="J31:M31"/>
    <mergeCell ref="N31:P31"/>
    <mergeCell ref="Q31:S31"/>
    <mergeCell ref="T29:W29"/>
    <mergeCell ref="A30:C30"/>
    <mergeCell ref="D30:F30"/>
    <mergeCell ref="G30:I30"/>
    <mergeCell ref="J30:M30"/>
    <mergeCell ref="N30:P30"/>
    <mergeCell ref="Q30:S30"/>
    <mergeCell ref="T30:W30"/>
    <mergeCell ref="A29:C29"/>
    <mergeCell ref="D29:F29"/>
    <mergeCell ref="G29:I29"/>
    <mergeCell ref="J29:M29"/>
    <mergeCell ref="N29:P29"/>
    <mergeCell ref="Q29:S29"/>
    <mergeCell ref="T27:W27"/>
    <mergeCell ref="A28:C28"/>
    <mergeCell ref="D28:F28"/>
    <mergeCell ref="G28:I28"/>
    <mergeCell ref="J28:M28"/>
    <mergeCell ref="N28:P28"/>
    <mergeCell ref="Q28:S28"/>
    <mergeCell ref="T28:W28"/>
    <mergeCell ref="A27:C27"/>
    <mergeCell ref="D27:F27"/>
    <mergeCell ref="G27:I27"/>
    <mergeCell ref="J27:M27"/>
    <mergeCell ref="N27:P27"/>
    <mergeCell ref="Q27:S27"/>
    <mergeCell ref="T25:W25"/>
    <mergeCell ref="A26:C26"/>
    <mergeCell ref="D26:F26"/>
    <mergeCell ref="G26:I26"/>
    <mergeCell ref="J26:M26"/>
    <mergeCell ref="N26:P26"/>
    <mergeCell ref="Q26:S26"/>
    <mergeCell ref="T26:W26"/>
    <mergeCell ref="A25:C25"/>
    <mergeCell ref="D25:F25"/>
    <mergeCell ref="G25:I25"/>
    <mergeCell ref="J25:M25"/>
    <mergeCell ref="N25:P25"/>
    <mergeCell ref="Q25:S25"/>
    <mergeCell ref="T23:W23"/>
    <mergeCell ref="A24:C24"/>
    <mergeCell ref="D24:F24"/>
    <mergeCell ref="G24:I24"/>
    <mergeCell ref="J24:M24"/>
    <mergeCell ref="N24:P24"/>
    <mergeCell ref="Q24:S24"/>
    <mergeCell ref="T24:W24"/>
    <mergeCell ref="A23:C23"/>
    <mergeCell ref="D23:F23"/>
    <mergeCell ref="G23:I23"/>
    <mergeCell ref="J23:M23"/>
    <mergeCell ref="N23:P23"/>
    <mergeCell ref="Q23:S23"/>
    <mergeCell ref="A20:U20"/>
    <mergeCell ref="D21:M21"/>
    <mergeCell ref="N21:W21"/>
    <mergeCell ref="A22:C22"/>
    <mergeCell ref="D22:F22"/>
    <mergeCell ref="G22:I22"/>
    <mergeCell ref="J22:M22"/>
    <mergeCell ref="N22:P22"/>
    <mergeCell ref="Q22:S22"/>
    <mergeCell ref="T22:W22"/>
    <mergeCell ref="B14:W14"/>
    <mergeCell ref="B15:W15"/>
    <mergeCell ref="B16:W16"/>
    <mergeCell ref="B17:W17"/>
    <mergeCell ref="B18:W18"/>
    <mergeCell ref="B19:W19"/>
    <mergeCell ref="C12:J12"/>
    <mergeCell ref="L12:M12"/>
    <mergeCell ref="N12:O12"/>
    <mergeCell ref="P12:R12"/>
    <mergeCell ref="S12:U12"/>
    <mergeCell ref="V12:W12"/>
    <mergeCell ref="C11:J11"/>
    <mergeCell ref="L11:M11"/>
    <mergeCell ref="N11:O11"/>
    <mergeCell ref="P11:R11"/>
    <mergeCell ref="S11:U11"/>
    <mergeCell ref="V11:W11"/>
    <mergeCell ref="C10:J10"/>
    <mergeCell ref="L10:M10"/>
    <mergeCell ref="N10:O10"/>
    <mergeCell ref="P10:R10"/>
    <mergeCell ref="S10:U10"/>
    <mergeCell ref="V10:W10"/>
    <mergeCell ref="C9:J9"/>
    <mergeCell ref="L9:M9"/>
    <mergeCell ref="N9:O9"/>
    <mergeCell ref="P9:R9"/>
    <mergeCell ref="S9:U9"/>
    <mergeCell ref="V9:W9"/>
    <mergeCell ref="C8:K8"/>
    <mergeCell ref="L8:M8"/>
    <mergeCell ref="N8:O8"/>
    <mergeCell ref="P8:R8"/>
    <mergeCell ref="S8:U8"/>
    <mergeCell ref="V8:W8"/>
    <mergeCell ref="C7:J7"/>
    <mergeCell ref="L7:M7"/>
    <mergeCell ref="N7:O7"/>
    <mergeCell ref="P7:R7"/>
    <mergeCell ref="S7:U7"/>
    <mergeCell ref="V7:W7"/>
    <mergeCell ref="C6:J6"/>
    <mergeCell ref="L6:M6"/>
    <mergeCell ref="N6:O6"/>
    <mergeCell ref="P6:R6"/>
    <mergeCell ref="S6:U6"/>
    <mergeCell ref="V6:W6"/>
    <mergeCell ref="B3:J3"/>
    <mergeCell ref="L3:M3"/>
    <mergeCell ref="N3:O3"/>
    <mergeCell ref="P3:R3"/>
    <mergeCell ref="S3:U3"/>
    <mergeCell ref="V3:W3"/>
    <mergeCell ref="C5:J5"/>
    <mergeCell ref="L5:M5"/>
    <mergeCell ref="N5:O5"/>
    <mergeCell ref="P5:R5"/>
    <mergeCell ref="S5:U5"/>
    <mergeCell ref="V5:W5"/>
    <mergeCell ref="C4:J4"/>
    <mergeCell ref="L4:M4"/>
    <mergeCell ref="N4:O4"/>
    <mergeCell ref="P4:R4"/>
    <mergeCell ref="S4:U4"/>
    <mergeCell ref="V4:W4"/>
  </mergeCells>
  <phoneticPr fontId="2" type="noConversion"/>
  <hyperlinks>
    <hyperlink ref="Y3" location="資料輸入!A1" display="回資料輸入" xr:uid="{57698A71-E891-4BFA-B829-22B054DBF916}"/>
  </hyperlinks>
  <pageMargins left="0.39370078740157483" right="0.39370078740157483" top="0.47244094488188981" bottom="0.47244094488188981" header="0.31496062992125984" footer="0.31496062992125984"/>
  <pageSetup paperSize="9" scale="74" fitToHeight="0" orientation="portrait" r:id="rId1"/>
  <headerFooter>
    <oddFooter>&amp;R&amp;"微軟正黑體,標準"&amp;10第&amp;P頁/共&amp;N頁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271B0-079E-F94B-9B03-A85E405C187B}">
  <sheetPr>
    <pageSetUpPr fitToPage="1"/>
  </sheetPr>
  <dimension ref="A1:Y106"/>
  <sheetViews>
    <sheetView zoomScaleNormal="100" workbookViewId="0">
      <selection activeCell="Y2" sqref="Y2"/>
    </sheetView>
  </sheetViews>
  <sheetFormatPr defaultColWidth="10.7265625" defaultRowHeight="15.5"/>
  <cols>
    <col min="1" max="2" width="4.08984375" style="83" customWidth="1"/>
    <col min="3" max="23" width="5.7265625" style="83" customWidth="1"/>
    <col min="24" max="24" width="5.6328125" style="138" customWidth="1"/>
    <col min="25" max="25" width="12" style="73" bestFit="1" customWidth="1"/>
    <col min="26" max="16384" width="10.7265625" style="138"/>
  </cols>
  <sheetData>
    <row r="1" spans="1:25" ht="25.5">
      <c r="A1" s="78" t="s">
        <v>169</v>
      </c>
      <c r="B1" s="78"/>
      <c r="C1" s="78"/>
      <c r="D1" s="79"/>
      <c r="E1" s="79"/>
      <c r="F1" s="79"/>
      <c r="G1" s="79"/>
      <c r="H1" s="79"/>
      <c r="I1" s="79"/>
      <c r="J1" s="79"/>
      <c r="K1" s="79"/>
      <c r="L1" s="79"/>
      <c r="M1" s="79"/>
      <c r="N1" s="79"/>
      <c r="O1" s="79"/>
      <c r="P1" s="79"/>
      <c r="Q1" s="79"/>
      <c r="R1" s="79"/>
      <c r="S1" s="79"/>
      <c r="T1" s="79"/>
      <c r="U1" s="79"/>
      <c r="V1" s="79"/>
      <c r="W1" s="80" t="str">
        <f ca="1">"列印日期："&amp;YEAR(TODAY())-1911&amp;"/"&amp;RIGHT("0"&amp;MONTH(TODAY()),2)&amp;"/"&amp;RIGHT("0"&amp;DAY(TODAY()),2)</f>
        <v>列印日期：113/07/29</v>
      </c>
    </row>
    <row r="2" spans="1:25" ht="18" customHeight="1">
      <c r="A2" s="79"/>
      <c r="B2" s="79"/>
      <c r="C2" s="79"/>
      <c r="D2" s="79"/>
      <c r="E2" s="79"/>
      <c r="F2" s="79"/>
      <c r="G2" s="79"/>
      <c r="H2" s="79"/>
      <c r="I2" s="79"/>
      <c r="J2" s="79"/>
      <c r="K2" s="79"/>
      <c r="L2" s="79"/>
      <c r="M2" s="79"/>
      <c r="N2" s="79"/>
      <c r="O2" s="79"/>
      <c r="P2" s="79"/>
      <c r="Q2" s="79"/>
      <c r="R2" s="79"/>
      <c r="S2" s="79"/>
      <c r="T2" s="79"/>
      <c r="U2" s="79"/>
      <c r="V2" s="79"/>
      <c r="W2" s="80" t="str">
        <f>資料輸入!P4</f>
        <v>《V7.2》</v>
      </c>
      <c r="Y2" s="137"/>
    </row>
    <row r="3" spans="1:25" ht="18" customHeight="1">
      <c r="A3" s="81"/>
      <c r="B3" s="223" t="s">
        <v>170</v>
      </c>
      <c r="C3" s="223"/>
      <c r="D3" s="223"/>
      <c r="E3" s="223"/>
      <c r="F3" s="223"/>
      <c r="G3" s="223"/>
      <c r="H3" s="223"/>
      <c r="I3" s="223"/>
      <c r="J3" s="223"/>
      <c r="K3" s="81"/>
      <c r="L3" s="223" t="s">
        <v>171</v>
      </c>
      <c r="M3" s="223"/>
      <c r="N3" s="223" t="s">
        <v>172</v>
      </c>
      <c r="O3" s="223"/>
      <c r="P3" s="223" t="s">
        <v>173</v>
      </c>
      <c r="Q3" s="223"/>
      <c r="R3" s="223"/>
      <c r="S3" s="223" t="s">
        <v>174</v>
      </c>
      <c r="T3" s="223"/>
      <c r="U3" s="223"/>
      <c r="V3" s="223" t="s">
        <v>175</v>
      </c>
      <c r="W3" s="223"/>
      <c r="Y3" s="139" t="s">
        <v>191</v>
      </c>
    </row>
    <row r="4" spans="1:25">
      <c r="A4" s="95">
        <v>1</v>
      </c>
      <c r="B4" s="95">
        <f t="shared" ref="B4:B12" si="0">IF(A4&gt;分齡表最大險種顯示數,"",A4)</f>
        <v>1</v>
      </c>
      <c r="C4" s="224" t="str">
        <f t="shared" ref="C4:C12" ca="1" si="1">IF(DPAA保額="",IF(總檢核,IF(B4="","",VLOOKUP(B4,保費分齡表顯示順序,2,0)),""),IF(保費分齡表對應=2,IF(總檢核,IF(B4="","",VLOOKUP(B4,保費分齡表顯示順序,2,0)),""),""))</f>
        <v>保誠人壽倍感安心終身醫療健康保險</v>
      </c>
      <c r="D4" s="224"/>
      <c r="E4" s="224"/>
      <c r="F4" s="224"/>
      <c r="G4" s="224"/>
      <c r="H4" s="224"/>
      <c r="I4" s="224"/>
      <c r="J4" s="224"/>
      <c r="K4" s="96"/>
      <c r="L4" s="225" t="str">
        <f t="shared" ref="L4:L12" ca="1" si="2">IF(DPAA保額="",IF(總檢核,IF(B4="","",VLOOKUP(B4,保費分齡表顯示順序,3,0)),""),IF(保費分齡表對應=2,IF(總檢核,IF(B4="","",VLOOKUP(B4,保費分齡表顯示順序,3,0)),""),""))</f>
        <v>AHIRLB1</v>
      </c>
      <c r="M4" s="225"/>
      <c r="N4" s="226" t="str">
        <f t="shared" ref="N4:N12" ca="1" si="3">IF(DPAA保額="",IF(總檢核,IF(B4="","",VLOOKUP(B4,保費分齡表顯示順序,4,0)&amp;"年期"),""),IF(保費分齡表對應=2,IF(總檢核,IF(B4="","",VLOOKUP(B4,保費分齡表顯示順序,4,0)&amp;"年期"),""),""))</f>
        <v>20年期</v>
      </c>
      <c r="O4" s="226"/>
      <c r="P4" s="227" t="str">
        <f t="shared" ref="P4:P12" ca="1" si="4">IF(DPAA保額="",IF(總檢核,IF(B4="","",VLOOKUP(B4,保費分齡表顯示順序,7,0)&amp;"-"&amp;VLOOKUP(B4,保費分齡表顯示順序,8,0)&amp;"歲"),""),IF(保費分齡表對應=2,IF(總檢核,IF(B4="","",VLOOKUP(B4,保費分齡表顯示順序,7,0)&amp;"-"&amp;VLOOKUP(B4,保費分齡表顯示順序,8,0)&amp;"歲"),""),""))</f>
        <v>0-60歲</v>
      </c>
      <c r="Q4" s="227"/>
      <c r="R4" s="227"/>
      <c r="S4" s="226" t="str">
        <f t="shared" ref="S4:S12" ca="1" si="5">IF(DPAA保額="",IF(總檢核,IF(B4="","",VLOOKUP(B4,保費分齡表顯示順序,5,0)),""),IF(保費分齡表對應=2,IF(總檢核,IF(B4="","",VLOOKUP(B4,保費分齡表顯示順序,5,0)),""),""))</f>
        <v>10計劃</v>
      </c>
      <c r="T4" s="226"/>
      <c r="U4" s="226"/>
      <c r="V4" s="226">
        <f ca="1">IF(DPAA保額="",IF(總檢核,IF(B4="","",資料輸入!$D$6),""),IF(保費分齡表對應=2,IF(總檢核,IF(B4="","",資料輸入!$D$6),""),""))</f>
        <v>1</v>
      </c>
      <c r="W4" s="226"/>
    </row>
    <row r="5" spans="1:25">
      <c r="A5" s="95">
        <v>2</v>
      </c>
      <c r="B5" s="95" t="str">
        <f t="shared" si="0"/>
        <v/>
      </c>
      <c r="C5" s="224" t="str">
        <f t="shared" ca="1" si="1"/>
        <v/>
      </c>
      <c r="D5" s="224"/>
      <c r="E5" s="224"/>
      <c r="F5" s="224"/>
      <c r="G5" s="224"/>
      <c r="H5" s="224"/>
      <c r="I5" s="224"/>
      <c r="J5" s="224"/>
      <c r="K5" s="97"/>
      <c r="L5" s="225" t="str">
        <f t="shared" ca="1" si="2"/>
        <v/>
      </c>
      <c r="M5" s="225"/>
      <c r="N5" s="226" t="str">
        <f t="shared" ca="1" si="3"/>
        <v/>
      </c>
      <c r="O5" s="226"/>
      <c r="P5" s="227" t="str">
        <f t="shared" ca="1" si="4"/>
        <v/>
      </c>
      <c r="Q5" s="227"/>
      <c r="R5" s="227"/>
      <c r="S5" s="226" t="str">
        <f t="shared" ca="1" si="5"/>
        <v/>
      </c>
      <c r="T5" s="226"/>
      <c r="U5" s="226"/>
      <c r="V5" s="226" t="str">
        <f ca="1">IF(DPAA保額="",IF(總檢核,IF(B5="","",資料輸入!$D$6),""),IF(保費分齡表對應=2,IF(總檢核,IF(B5="","",資料輸入!$D$6),""),""))</f>
        <v/>
      </c>
      <c r="W5" s="226"/>
    </row>
    <row r="6" spans="1:25">
      <c r="A6" s="95">
        <v>3</v>
      </c>
      <c r="B6" s="95" t="str">
        <f t="shared" si="0"/>
        <v/>
      </c>
      <c r="C6" s="224" t="str">
        <f t="shared" ca="1" si="1"/>
        <v/>
      </c>
      <c r="D6" s="224"/>
      <c r="E6" s="224"/>
      <c r="F6" s="224"/>
      <c r="G6" s="224"/>
      <c r="H6" s="224"/>
      <c r="I6" s="224"/>
      <c r="J6" s="224"/>
      <c r="K6" s="97"/>
      <c r="L6" s="225" t="str">
        <f t="shared" ca="1" si="2"/>
        <v/>
      </c>
      <c r="M6" s="225"/>
      <c r="N6" s="226" t="str">
        <f t="shared" ca="1" si="3"/>
        <v/>
      </c>
      <c r="O6" s="226"/>
      <c r="P6" s="227" t="str">
        <f t="shared" ca="1" si="4"/>
        <v/>
      </c>
      <c r="Q6" s="227"/>
      <c r="R6" s="227"/>
      <c r="S6" s="226" t="str">
        <f t="shared" ca="1" si="5"/>
        <v/>
      </c>
      <c r="T6" s="226"/>
      <c r="U6" s="226"/>
      <c r="V6" s="226" t="str">
        <f ca="1">IF(DPAA保額="",IF(總檢核,IF(B6="","",資料輸入!$D$6),""),IF(保費分齡表對應=2,IF(總檢核,IF(B6="","",資料輸入!$D$6),""),""))</f>
        <v/>
      </c>
      <c r="W6" s="226"/>
    </row>
    <row r="7" spans="1:25">
      <c r="A7" s="95">
        <v>4</v>
      </c>
      <c r="B7" s="95" t="str">
        <f t="shared" si="0"/>
        <v/>
      </c>
      <c r="C7" s="224" t="str">
        <f t="shared" ca="1" si="1"/>
        <v/>
      </c>
      <c r="D7" s="224"/>
      <c r="E7" s="224"/>
      <c r="F7" s="224"/>
      <c r="G7" s="224"/>
      <c r="H7" s="224"/>
      <c r="I7" s="224"/>
      <c r="J7" s="224"/>
      <c r="K7" s="97"/>
      <c r="L7" s="225" t="str">
        <f t="shared" ca="1" si="2"/>
        <v/>
      </c>
      <c r="M7" s="225"/>
      <c r="N7" s="226" t="str">
        <f t="shared" ca="1" si="3"/>
        <v/>
      </c>
      <c r="O7" s="226"/>
      <c r="P7" s="227" t="str">
        <f t="shared" ca="1" si="4"/>
        <v/>
      </c>
      <c r="Q7" s="227"/>
      <c r="R7" s="227"/>
      <c r="S7" s="226" t="str">
        <f t="shared" ca="1" si="5"/>
        <v/>
      </c>
      <c r="T7" s="226"/>
      <c r="U7" s="226"/>
      <c r="V7" s="226" t="str">
        <f ca="1">IF(DPAA保額="",IF(總檢核,IF(B7="","",資料輸入!$D$6),""),IF(保費分齡表對應=2,IF(總檢核,IF(B7="","",資料輸入!$D$6),""),""))</f>
        <v/>
      </c>
      <c r="W7" s="226"/>
    </row>
    <row r="8" spans="1:25">
      <c r="A8" s="95">
        <v>5</v>
      </c>
      <c r="B8" s="95" t="str">
        <f t="shared" si="0"/>
        <v/>
      </c>
      <c r="C8" s="224" t="str">
        <f t="shared" ca="1" si="1"/>
        <v/>
      </c>
      <c r="D8" s="224"/>
      <c r="E8" s="224"/>
      <c r="F8" s="224"/>
      <c r="G8" s="224"/>
      <c r="H8" s="224"/>
      <c r="I8" s="224"/>
      <c r="J8" s="224"/>
      <c r="K8" s="224"/>
      <c r="L8" s="225" t="str">
        <f t="shared" ca="1" si="2"/>
        <v/>
      </c>
      <c r="M8" s="225"/>
      <c r="N8" s="226" t="str">
        <f t="shared" ca="1" si="3"/>
        <v/>
      </c>
      <c r="O8" s="226"/>
      <c r="P8" s="227" t="str">
        <f t="shared" ca="1" si="4"/>
        <v/>
      </c>
      <c r="Q8" s="227"/>
      <c r="R8" s="227"/>
      <c r="S8" s="226" t="str">
        <f t="shared" ca="1" si="5"/>
        <v/>
      </c>
      <c r="T8" s="226"/>
      <c r="U8" s="226"/>
      <c r="V8" s="226" t="str">
        <f ca="1">IF(DPAA保額="",IF(總檢核,IF(B8="","",資料輸入!$D$6),""),IF(保費分齡表對應=2,IF(總檢核,IF(B8="","",資料輸入!$D$6),""),""))</f>
        <v/>
      </c>
      <c r="W8" s="226"/>
    </row>
    <row r="9" spans="1:25">
      <c r="A9" s="95">
        <v>6</v>
      </c>
      <c r="B9" s="95" t="str">
        <f t="shared" si="0"/>
        <v/>
      </c>
      <c r="C9" s="224" t="str">
        <f t="shared" ca="1" si="1"/>
        <v/>
      </c>
      <c r="D9" s="224"/>
      <c r="E9" s="224"/>
      <c r="F9" s="224"/>
      <c r="G9" s="224"/>
      <c r="H9" s="224"/>
      <c r="I9" s="224"/>
      <c r="J9" s="224"/>
      <c r="K9" s="97"/>
      <c r="L9" s="225" t="str">
        <f t="shared" ca="1" si="2"/>
        <v/>
      </c>
      <c r="M9" s="225"/>
      <c r="N9" s="226" t="str">
        <f t="shared" ca="1" si="3"/>
        <v/>
      </c>
      <c r="O9" s="226"/>
      <c r="P9" s="227" t="str">
        <f t="shared" ca="1" si="4"/>
        <v/>
      </c>
      <c r="Q9" s="227"/>
      <c r="R9" s="227"/>
      <c r="S9" s="226" t="str">
        <f t="shared" ca="1" si="5"/>
        <v/>
      </c>
      <c r="T9" s="226"/>
      <c r="U9" s="226"/>
      <c r="V9" s="226" t="str">
        <f ca="1">IF(DPAA保額="",IF(總檢核,IF(B9="","",資料輸入!$D$6),""),IF(保費分齡表對應=2,IF(總檢核,IF(B9="","",資料輸入!$D$6),""),""))</f>
        <v/>
      </c>
      <c r="W9" s="226"/>
    </row>
    <row r="10" spans="1:25">
      <c r="A10" s="95">
        <v>7</v>
      </c>
      <c r="B10" s="95" t="str">
        <f t="shared" si="0"/>
        <v/>
      </c>
      <c r="C10" s="224" t="str">
        <f t="shared" ca="1" si="1"/>
        <v/>
      </c>
      <c r="D10" s="224"/>
      <c r="E10" s="224"/>
      <c r="F10" s="224"/>
      <c r="G10" s="224"/>
      <c r="H10" s="224"/>
      <c r="I10" s="224"/>
      <c r="J10" s="224"/>
      <c r="K10" s="97"/>
      <c r="L10" s="225" t="str">
        <f t="shared" ca="1" si="2"/>
        <v/>
      </c>
      <c r="M10" s="225"/>
      <c r="N10" s="226" t="str">
        <f t="shared" ca="1" si="3"/>
        <v/>
      </c>
      <c r="O10" s="226"/>
      <c r="P10" s="227" t="str">
        <f t="shared" ca="1" si="4"/>
        <v/>
      </c>
      <c r="Q10" s="227"/>
      <c r="R10" s="227"/>
      <c r="S10" s="226" t="str">
        <f t="shared" ca="1" si="5"/>
        <v/>
      </c>
      <c r="T10" s="226"/>
      <c r="U10" s="226"/>
      <c r="V10" s="226" t="str">
        <f ca="1">IF(DPAA保額="",IF(總檢核,IF(B10="","",資料輸入!$D$6),""),IF(保費分齡表對應=2,IF(總檢核,IF(B10="","",資料輸入!$D$6),""),""))</f>
        <v/>
      </c>
      <c r="W10" s="226"/>
    </row>
    <row r="11" spans="1:25">
      <c r="A11" s="95">
        <v>8</v>
      </c>
      <c r="B11" s="95" t="str">
        <f t="shared" si="0"/>
        <v/>
      </c>
      <c r="C11" s="224" t="str">
        <f t="shared" ca="1" si="1"/>
        <v/>
      </c>
      <c r="D11" s="224"/>
      <c r="E11" s="224"/>
      <c r="F11" s="224"/>
      <c r="G11" s="224"/>
      <c r="H11" s="224"/>
      <c r="I11" s="224"/>
      <c r="J11" s="224"/>
      <c r="K11" s="97"/>
      <c r="L11" s="225" t="str">
        <f t="shared" ca="1" si="2"/>
        <v/>
      </c>
      <c r="M11" s="225"/>
      <c r="N11" s="226" t="str">
        <f t="shared" ca="1" si="3"/>
        <v/>
      </c>
      <c r="O11" s="226"/>
      <c r="P11" s="227" t="str">
        <f t="shared" ca="1" si="4"/>
        <v/>
      </c>
      <c r="Q11" s="227"/>
      <c r="R11" s="227"/>
      <c r="S11" s="226" t="str">
        <f t="shared" ca="1" si="5"/>
        <v/>
      </c>
      <c r="T11" s="226"/>
      <c r="U11" s="226"/>
      <c r="V11" s="226" t="str">
        <f ca="1">IF(DPAA保額="",IF(總檢核,IF(B11="","",資料輸入!$D$6),""),IF(保費分齡表對應=2,IF(總檢核,IF(B11="","",資料輸入!$D$6),""),""))</f>
        <v/>
      </c>
      <c r="W11" s="226"/>
    </row>
    <row r="12" spans="1:25" ht="16" thickBot="1">
      <c r="A12" s="98">
        <v>9</v>
      </c>
      <c r="B12" s="98" t="str">
        <f t="shared" si="0"/>
        <v/>
      </c>
      <c r="C12" s="232" t="str">
        <f t="shared" ca="1" si="1"/>
        <v/>
      </c>
      <c r="D12" s="232"/>
      <c r="E12" s="232"/>
      <c r="F12" s="232"/>
      <c r="G12" s="232"/>
      <c r="H12" s="232"/>
      <c r="I12" s="232"/>
      <c r="J12" s="232"/>
      <c r="K12" s="99"/>
      <c r="L12" s="233" t="str">
        <f t="shared" ca="1" si="2"/>
        <v/>
      </c>
      <c r="M12" s="233"/>
      <c r="N12" s="234" t="str">
        <f t="shared" ca="1" si="3"/>
        <v/>
      </c>
      <c r="O12" s="234"/>
      <c r="P12" s="235" t="str">
        <f t="shared" ca="1" si="4"/>
        <v/>
      </c>
      <c r="Q12" s="235"/>
      <c r="R12" s="235"/>
      <c r="S12" s="234" t="str">
        <f t="shared" ca="1" si="5"/>
        <v/>
      </c>
      <c r="T12" s="234"/>
      <c r="U12" s="234"/>
      <c r="V12" s="234" t="str">
        <f ca="1">IF(DPAA保額="",IF(總檢核,IF(B12="","",資料輸入!$D$6),""),IF(保費分齡表對應=2,IF(總檢核,IF(B12="","",資料輸入!$D$6),""),""))</f>
        <v/>
      </c>
      <c r="W12" s="234"/>
    </row>
    <row r="13" spans="1:25" ht="7.9" customHeight="1">
      <c r="A13" s="82"/>
      <c r="B13" s="82"/>
      <c r="C13" s="84"/>
      <c r="D13" s="84"/>
      <c r="E13" s="84"/>
      <c r="F13" s="84"/>
      <c r="G13" s="84"/>
      <c r="H13" s="84"/>
      <c r="I13" s="84"/>
      <c r="J13" s="84"/>
      <c r="K13" s="85"/>
      <c r="L13" s="85"/>
      <c r="M13" s="85"/>
      <c r="N13" s="86"/>
      <c r="O13" s="86"/>
      <c r="P13" s="86"/>
      <c r="Q13" s="87"/>
      <c r="R13" s="87"/>
      <c r="S13" s="88"/>
      <c r="T13" s="87"/>
      <c r="U13" s="87"/>
      <c r="V13" s="87"/>
      <c r="W13" s="88"/>
    </row>
    <row r="14" spans="1:25" ht="18.5" hidden="1">
      <c r="A14" s="89" t="s">
        <v>176</v>
      </c>
      <c r="B14" s="228" t="s">
        <v>177</v>
      </c>
      <c r="C14" s="228"/>
      <c r="D14" s="228"/>
      <c r="E14" s="228"/>
      <c r="F14" s="228"/>
      <c r="G14" s="228"/>
      <c r="H14" s="228"/>
      <c r="I14" s="228"/>
      <c r="J14" s="228"/>
      <c r="K14" s="228"/>
      <c r="L14" s="228"/>
      <c r="M14" s="228"/>
      <c r="N14" s="228"/>
      <c r="O14" s="228"/>
      <c r="P14" s="228"/>
      <c r="Q14" s="228"/>
      <c r="R14" s="228"/>
      <c r="S14" s="228"/>
      <c r="T14" s="228"/>
      <c r="U14" s="228"/>
      <c r="V14" s="228"/>
      <c r="W14" s="228"/>
    </row>
    <row r="15" spans="1:25" hidden="1">
      <c r="A15" s="89" t="s">
        <v>176</v>
      </c>
      <c r="B15" s="228" t="s">
        <v>178</v>
      </c>
      <c r="C15" s="228"/>
      <c r="D15" s="228"/>
      <c r="E15" s="228"/>
      <c r="F15" s="228"/>
      <c r="G15" s="228"/>
      <c r="H15" s="228"/>
      <c r="I15" s="228"/>
      <c r="J15" s="228"/>
      <c r="K15" s="228"/>
      <c r="L15" s="228"/>
      <c r="M15" s="228"/>
      <c r="N15" s="228"/>
      <c r="O15" s="228"/>
      <c r="P15" s="228"/>
      <c r="Q15" s="228"/>
      <c r="R15" s="228"/>
      <c r="S15" s="228"/>
      <c r="T15" s="228"/>
      <c r="U15" s="228"/>
      <c r="V15" s="228"/>
      <c r="W15" s="228"/>
    </row>
    <row r="16" spans="1:25" ht="17.149999999999999" customHeight="1">
      <c r="A16" s="89" t="s">
        <v>176</v>
      </c>
      <c r="B16" s="229" t="s">
        <v>179</v>
      </c>
      <c r="C16" s="229"/>
      <c r="D16" s="229"/>
      <c r="E16" s="229"/>
      <c r="F16" s="229"/>
      <c r="G16" s="229"/>
      <c r="H16" s="229"/>
      <c r="I16" s="229"/>
      <c r="J16" s="229"/>
      <c r="K16" s="229"/>
      <c r="L16" s="229"/>
      <c r="M16" s="229"/>
      <c r="N16" s="229"/>
      <c r="O16" s="229"/>
      <c r="P16" s="229"/>
      <c r="Q16" s="229"/>
      <c r="R16" s="229"/>
      <c r="S16" s="229"/>
      <c r="T16" s="229"/>
      <c r="U16" s="229"/>
      <c r="V16" s="229"/>
      <c r="W16" s="229"/>
    </row>
    <row r="17" spans="1:23" ht="17.149999999999999" customHeight="1">
      <c r="A17" s="89" t="s">
        <v>176</v>
      </c>
      <c r="B17" s="229" t="s">
        <v>180</v>
      </c>
      <c r="C17" s="229"/>
      <c r="D17" s="229"/>
      <c r="E17" s="229"/>
      <c r="F17" s="229"/>
      <c r="G17" s="229"/>
      <c r="H17" s="229"/>
      <c r="I17" s="229"/>
      <c r="J17" s="229"/>
      <c r="K17" s="229"/>
      <c r="L17" s="229"/>
      <c r="M17" s="229"/>
      <c r="N17" s="229"/>
      <c r="O17" s="229"/>
      <c r="P17" s="229"/>
      <c r="Q17" s="229"/>
      <c r="R17" s="229"/>
      <c r="S17" s="229"/>
      <c r="T17" s="229"/>
      <c r="U17" s="229"/>
      <c r="V17" s="229"/>
      <c r="W17" s="229"/>
    </row>
    <row r="18" spans="1:23" ht="17.149999999999999" customHeight="1">
      <c r="A18" s="89" t="s">
        <v>176</v>
      </c>
      <c r="B18" s="261" t="s">
        <v>266</v>
      </c>
      <c r="C18" s="229"/>
      <c r="D18" s="229"/>
      <c r="E18" s="229"/>
      <c r="F18" s="229"/>
      <c r="G18" s="229"/>
      <c r="H18" s="229"/>
      <c r="I18" s="229"/>
      <c r="J18" s="229"/>
      <c r="K18" s="229"/>
      <c r="L18" s="229"/>
      <c r="M18" s="229"/>
      <c r="N18" s="229"/>
      <c r="O18" s="229"/>
      <c r="P18" s="229"/>
      <c r="Q18" s="229"/>
      <c r="R18" s="229"/>
      <c r="S18" s="229"/>
      <c r="T18" s="229"/>
      <c r="U18" s="229"/>
      <c r="V18" s="229"/>
      <c r="W18" s="229"/>
    </row>
    <row r="19" spans="1:23" ht="31.9" hidden="1" customHeight="1">
      <c r="A19" s="89" t="s">
        <v>176</v>
      </c>
      <c r="B19" s="231" t="s">
        <v>181</v>
      </c>
      <c r="C19" s="231"/>
      <c r="D19" s="231"/>
      <c r="E19" s="231"/>
      <c r="F19" s="231"/>
      <c r="G19" s="231"/>
      <c r="H19" s="231"/>
      <c r="I19" s="231"/>
      <c r="J19" s="231"/>
      <c r="K19" s="231"/>
      <c r="L19" s="231"/>
      <c r="M19" s="231"/>
      <c r="N19" s="231"/>
      <c r="O19" s="231"/>
      <c r="P19" s="231"/>
      <c r="Q19" s="231"/>
      <c r="R19" s="231"/>
      <c r="S19" s="231"/>
      <c r="T19" s="231"/>
      <c r="U19" s="231"/>
      <c r="V19" s="231"/>
      <c r="W19" s="231"/>
    </row>
    <row r="20" spans="1:23" ht="18" customHeight="1">
      <c r="A20" s="236"/>
      <c r="B20" s="236"/>
      <c r="C20" s="236"/>
      <c r="D20" s="236"/>
      <c r="E20" s="236"/>
      <c r="F20" s="236"/>
      <c r="G20" s="236"/>
      <c r="H20" s="236"/>
      <c r="I20" s="236"/>
      <c r="J20" s="236"/>
      <c r="K20" s="236"/>
      <c r="L20" s="236"/>
      <c r="M20" s="236"/>
      <c r="N20" s="236"/>
      <c r="O20" s="236"/>
      <c r="P20" s="236"/>
      <c r="Q20" s="236"/>
      <c r="R20" s="236"/>
      <c r="S20" s="236"/>
      <c r="T20" s="236"/>
      <c r="U20" s="236"/>
      <c r="V20" s="90"/>
      <c r="W20" s="90" t="s">
        <v>182</v>
      </c>
    </row>
    <row r="21" spans="1:23" ht="18" customHeight="1">
      <c r="A21" s="94"/>
      <c r="B21" s="94"/>
      <c r="C21" s="94"/>
      <c r="D21" s="237" t="s">
        <v>183</v>
      </c>
      <c r="E21" s="237"/>
      <c r="F21" s="237"/>
      <c r="G21" s="237"/>
      <c r="H21" s="237"/>
      <c r="I21" s="237"/>
      <c r="J21" s="237"/>
      <c r="K21" s="237"/>
      <c r="L21" s="237"/>
      <c r="M21" s="238"/>
      <c r="N21" s="237" t="s">
        <v>184</v>
      </c>
      <c r="O21" s="237"/>
      <c r="P21" s="237"/>
      <c r="Q21" s="237"/>
      <c r="R21" s="237"/>
      <c r="S21" s="237"/>
      <c r="T21" s="237"/>
      <c r="U21" s="237"/>
      <c r="V21" s="237"/>
      <c r="W21" s="237"/>
    </row>
    <row r="22" spans="1:23" ht="18" customHeight="1">
      <c r="A22" s="239" t="s">
        <v>185</v>
      </c>
      <c r="B22" s="239"/>
      <c r="C22" s="239"/>
      <c r="D22" s="239" t="s">
        <v>186</v>
      </c>
      <c r="E22" s="239"/>
      <c r="F22" s="239"/>
      <c r="G22" s="239" t="s">
        <v>187</v>
      </c>
      <c r="H22" s="239"/>
      <c r="I22" s="239"/>
      <c r="J22" s="239" t="s">
        <v>188</v>
      </c>
      <c r="K22" s="239"/>
      <c r="L22" s="239"/>
      <c r="M22" s="240"/>
      <c r="N22" s="239" t="s">
        <v>186</v>
      </c>
      <c r="O22" s="239"/>
      <c r="P22" s="239"/>
      <c r="Q22" s="239" t="s">
        <v>187</v>
      </c>
      <c r="R22" s="239"/>
      <c r="S22" s="239"/>
      <c r="T22" s="239" t="s">
        <v>188</v>
      </c>
      <c r="U22" s="239"/>
      <c r="V22" s="239"/>
      <c r="W22" s="239"/>
    </row>
    <row r="23" spans="1:23">
      <c r="A23" s="227">
        <f ca="1">IF(DPAA保額="",IF(總檢核,'試算表(16歲-65歲)'!A4,""),IF(保費分齡表對應=2,IF(總檢核,'試算表(16歲-65歲)'!A4,""),""))</f>
        <v>16</v>
      </c>
      <c r="B23" s="227"/>
      <c r="C23" s="227"/>
      <c r="D23" s="243">
        <f ca="1">IF(DPAA保額="",IF(總檢核,IF(A22=分齡表最大顯示年齡,"***以下空白***",IF(A23&lt;=分齡表最大顯示年齡,'試算表(16歲-65歲)'!B4,"")),""),IF(保費分齡表對應=2,IF(總檢核,IF(A22=分齡表最大顯示年齡,"***以下空白***",IF(A23&lt;=分齡表最大顯示年齡,'試算表(16歲-65歲)'!B4,"")),""),""))</f>
        <v>15730</v>
      </c>
      <c r="E23" s="243"/>
      <c r="F23" s="243"/>
      <c r="G23" s="241">
        <f ca="1">IF(D23=0,"-",IF(DPAA保額="",IF(總檢核,IF($A23="","",SUM('試算表(16歲-65歲)'!C4:N4)),""),IF(保費分齡表對應=2,IF(總檢核,IF($A23="","",SUM('試算表(16歲-65歲)'!C4:N4)),""),"")))</f>
        <v>0</v>
      </c>
      <c r="H23" s="241"/>
      <c r="I23" s="241"/>
      <c r="J23" s="241">
        <f t="shared" ref="J23:J68" ca="1" si="6">IFERROR(IF(DPAA保額="",IF(總檢核,IF($A23="","",D23+G23),""),IF(保費分齡表對應=2,IF(總檢核,IF($A23="","",D23+G23),""),"")),"-")</f>
        <v>15730</v>
      </c>
      <c r="K23" s="242"/>
      <c r="L23" s="242"/>
      <c r="M23" s="242"/>
      <c r="N23" s="243">
        <f ca="1">IF(DPAA保額="",IF(總檢核,IF(A23="","",'試算表(16歲-65歲)'!O4),""),IF(保費分齡表對應=2,IF(總檢核,IF(A23="","",'試算表(16歲-65歲)'!O4),""),""))</f>
        <v>15600</v>
      </c>
      <c r="O23" s="243"/>
      <c r="P23" s="243"/>
      <c r="Q23" s="241">
        <f ca="1">IF(N23=0,"-",IF(DPAA保額="",IF(總檢核,IF($A23="","",SUM('試算表(16歲-65歲)'!P4:AA4)),""),IF(保費分齡表對應=2,IF(總檢核,IF($A23="","",SUM('試算表(16歲-65歲)'!P4:AA4)),""),"")))</f>
        <v>0</v>
      </c>
      <c r="R23" s="241"/>
      <c r="S23" s="241"/>
      <c r="T23" s="241">
        <f t="shared" ref="T23:T68" ca="1" si="7">IFERROR(IF(DPAA保額="",IF(總檢核,IF($A23="","",N23+Q23),""),IF(保費分齡表對應=2,IF(總檢核,IF($A23="","",N23+Q23),""),"")),"-")</f>
        <v>15600</v>
      </c>
      <c r="U23" s="242"/>
      <c r="V23" s="242"/>
      <c r="W23" s="242"/>
    </row>
    <row r="24" spans="1:23">
      <c r="A24" s="227">
        <f ca="1">IF(DPAA保額="",IF(總檢核,'試算表(16歲-65歲)'!A5,""),IF(保費分齡表對應=2,IF(總檢核,'試算表(16歲-65歲)'!A5,""),""))</f>
        <v>17</v>
      </c>
      <c r="B24" s="227"/>
      <c r="C24" s="227"/>
      <c r="D24" s="243">
        <f ca="1">IF(DPAA保額="",IF(總檢核,IF(A23=分齡表最大顯示年齡,"***以下空白***",IF(A24&lt;=分齡表最大顯示年齡,'試算表(16歲-65歲)'!B5,"")),""),IF(保費分齡表對應=2,IF(總檢核,IF(A23=分齡表最大顯示年齡,"***以下空白***",IF(A24&lt;=分齡表最大顯示年齡,'試算表(16歲-65歲)'!B5,"")),""),""))</f>
        <v>16040</v>
      </c>
      <c r="E24" s="243"/>
      <c r="F24" s="243"/>
      <c r="G24" s="241">
        <f ca="1">IF(D24=0,"-",IF(DPAA保額="",IF(總檢核,IF($A24="","",SUM('試算表(16歲-65歲)'!C5:N5)),""),IF(保費分齡表對應=2,IF(總檢核,IF($A24="","",SUM('試算表(16歲-65歲)'!C5:N5)),""),"")))</f>
        <v>0</v>
      </c>
      <c r="H24" s="241"/>
      <c r="I24" s="241"/>
      <c r="J24" s="241">
        <f t="shared" ca="1" si="6"/>
        <v>16040</v>
      </c>
      <c r="K24" s="242"/>
      <c r="L24" s="242"/>
      <c r="M24" s="242"/>
      <c r="N24" s="243">
        <f ca="1">IF(DPAA保額="",IF(總檢核,IF(A24="","",'試算表(16歲-65歲)'!O5),""),IF(保費分齡表對應=2,IF(總檢核,IF(A24="","",'試算表(16歲-65歲)'!O5),""),""))</f>
        <v>15830</v>
      </c>
      <c r="O24" s="243"/>
      <c r="P24" s="243"/>
      <c r="Q24" s="243">
        <f ca="1">IF(N24=0,"-",IF(DPAA保額="",IF(總檢核,IF($A24="","",SUM('試算表(16歲-65歲)'!P5:AA5)),""),IF(保費分齡表對應=2,IF(總檢核,IF($A24="","",SUM('試算表(16歲-65歲)'!P5:AA5)),""),"")))</f>
        <v>0</v>
      </c>
      <c r="R24" s="243"/>
      <c r="S24" s="243"/>
      <c r="T24" s="241">
        <f t="shared" ca="1" si="7"/>
        <v>15830</v>
      </c>
      <c r="U24" s="241"/>
      <c r="V24" s="241"/>
      <c r="W24" s="241"/>
    </row>
    <row r="25" spans="1:23">
      <c r="A25" s="227">
        <f ca="1">IF(DPAA保額="",IF(總檢核,'試算表(16歲-65歲)'!A6,""),IF(保費分齡表對應=2,IF(總檢核,'試算表(16歲-65歲)'!A6,""),""))</f>
        <v>18</v>
      </c>
      <c r="B25" s="227"/>
      <c r="C25" s="227"/>
      <c r="D25" s="243">
        <f ca="1">IF(DPAA保額="",IF(總檢核,IF(A24=分齡表最大顯示年齡,"***以下空白***",IF(A25&lt;=分齡表最大顯示年齡,'試算表(16歲-65歲)'!B6,"")),""),IF(保費分齡表對應=2,IF(總檢核,IF(A24=分齡表最大顯示年齡,"***以下空白***",IF(A25&lt;=分齡表最大顯示年齡,'試算表(16歲-65歲)'!B6,"")),""),""))</f>
        <v>16340</v>
      </c>
      <c r="E25" s="243"/>
      <c r="F25" s="243"/>
      <c r="G25" s="241">
        <f ca="1">IF(D25=0,"-",IF(DPAA保額="",IF(總檢核,IF($A25="","",SUM('試算表(16歲-65歲)'!C6:N6)),""),IF(保費分齡表對應=2,IF(總檢核,IF($A25="","",SUM('試算表(16歲-65歲)'!C6:N6)),""),"")))</f>
        <v>0</v>
      </c>
      <c r="H25" s="241"/>
      <c r="I25" s="241"/>
      <c r="J25" s="241">
        <f t="shared" ca="1" si="6"/>
        <v>16340</v>
      </c>
      <c r="K25" s="241"/>
      <c r="L25" s="241"/>
      <c r="M25" s="241"/>
      <c r="N25" s="243">
        <f ca="1">IF(DPAA保額="",IF(總檢核,IF(A25="","",'試算表(16歲-65歲)'!O6),""),IF(保費分齡表對應=2,IF(總檢核,IF(A25="","",'試算表(16歲-65歲)'!O6),""),""))</f>
        <v>16070</v>
      </c>
      <c r="O25" s="243"/>
      <c r="P25" s="243"/>
      <c r="Q25" s="243">
        <f ca="1">IF(N25=0,"-",IF(DPAA保額="",IF(總檢核,IF($A25="","",SUM('試算表(16歲-65歲)'!P6:AA6)),""),IF(保費分齡表對應=2,IF(總檢核,IF($A25="","",SUM('試算表(16歲-65歲)'!P6:AA6)),""),"")))</f>
        <v>0</v>
      </c>
      <c r="R25" s="243"/>
      <c r="S25" s="243"/>
      <c r="T25" s="241">
        <f t="shared" ca="1" si="7"/>
        <v>16070</v>
      </c>
      <c r="U25" s="241"/>
      <c r="V25" s="241"/>
      <c r="W25" s="241"/>
    </row>
    <row r="26" spans="1:23">
      <c r="A26" s="227">
        <f ca="1">IF(DPAA保額="",IF(總檢核,'試算表(16歲-65歲)'!A7,""),IF(保費分齡表對應=2,IF(總檢核,'試算表(16歲-65歲)'!A7,""),""))</f>
        <v>19</v>
      </c>
      <c r="B26" s="227"/>
      <c r="C26" s="227"/>
      <c r="D26" s="243">
        <f ca="1">IF(DPAA保額="",IF(總檢核,IF(A25=分齡表最大顯示年齡,"***以下空白***",IF(A26&lt;=分齡表最大顯示年齡,'試算表(16歲-65歲)'!B7,"")),""),IF(保費分齡表對應=2,IF(總檢核,IF(A25=分齡表最大顯示年齡,"***以下空白***",IF(A26&lt;=分齡表最大顯示年齡,'試算表(16歲-65歲)'!B7,"")),""),""))</f>
        <v>16650</v>
      </c>
      <c r="E26" s="243"/>
      <c r="F26" s="243"/>
      <c r="G26" s="241">
        <f ca="1">IF(D26=0,"-",IF(DPAA保額="",IF(總檢核,IF($A26="","",SUM('試算表(16歲-65歲)'!C7:N7)),""),IF(保費分齡表對應=2,IF(總檢核,IF($A26="","",SUM('試算表(16歲-65歲)'!C7:N7)),""),"")))</f>
        <v>0</v>
      </c>
      <c r="H26" s="241"/>
      <c r="I26" s="241"/>
      <c r="J26" s="241">
        <f t="shared" ca="1" si="6"/>
        <v>16650</v>
      </c>
      <c r="K26" s="241"/>
      <c r="L26" s="241"/>
      <c r="M26" s="241"/>
      <c r="N26" s="243">
        <f ca="1">IF(DPAA保額="",IF(總檢核,IF(A26="","",'試算表(16歲-65歲)'!O7),""),IF(保費分齡表對應=2,IF(總檢核,IF(A26="","",'試算表(16歲-65歲)'!O7),""),""))</f>
        <v>16300</v>
      </c>
      <c r="O26" s="243"/>
      <c r="P26" s="243"/>
      <c r="Q26" s="243">
        <f ca="1">IF(N26=0,"-",IF(DPAA保額="",IF(總檢核,IF($A26="","",SUM('試算表(16歲-65歲)'!P7:AA7)),""),IF(保費分齡表對應=2,IF(總檢核,IF($A26="","",SUM('試算表(16歲-65歲)'!P7:AA7)),""),"")))</f>
        <v>0</v>
      </c>
      <c r="R26" s="243"/>
      <c r="S26" s="243"/>
      <c r="T26" s="241">
        <f t="shared" ca="1" si="7"/>
        <v>16300</v>
      </c>
      <c r="U26" s="241"/>
      <c r="V26" s="241"/>
      <c r="W26" s="241"/>
    </row>
    <row r="27" spans="1:23">
      <c r="A27" s="227">
        <f ca="1">IF(DPAA保額="",IF(總檢核,'試算表(16歲-65歲)'!A8,""),IF(保費分齡表對應=2,IF(總檢核,'試算表(16歲-65歲)'!A8,""),""))</f>
        <v>20</v>
      </c>
      <c r="B27" s="227"/>
      <c r="C27" s="227"/>
      <c r="D27" s="243">
        <f ca="1">IF(DPAA保額="",IF(總檢核,IF(A26=分齡表最大顯示年齡,"***以下空白***",IF(A27&lt;=分齡表最大顯示年齡,'試算表(16歲-65歲)'!B8,"")),""),IF(保費分齡表對應=2,IF(總檢核,IF(A26=分齡表最大顯示年齡,"***以下空白***",IF(A27&lt;=分齡表最大顯示年齡,'試算表(16歲-65歲)'!B8,"")),""),""))</f>
        <v>17200</v>
      </c>
      <c r="E27" s="243"/>
      <c r="F27" s="243"/>
      <c r="G27" s="241">
        <f ca="1">IF(D27=0,"-",IF(DPAA保額="",IF(總檢核,IF($A27="","",SUM('試算表(16歲-65歲)'!C8:N8)),""),IF(保費分齡表對應=2,IF(總檢核,IF($A27="","",SUM('試算表(16歲-65歲)'!C8:N8)),""),"")))</f>
        <v>0</v>
      </c>
      <c r="H27" s="241"/>
      <c r="I27" s="241"/>
      <c r="J27" s="241">
        <f t="shared" ca="1" si="6"/>
        <v>17200</v>
      </c>
      <c r="K27" s="241"/>
      <c r="L27" s="241"/>
      <c r="M27" s="241"/>
      <c r="N27" s="243">
        <f ca="1">IF(DPAA保額="",IF(總檢核,IF(A27="","",'試算表(16歲-65歲)'!O8),""),IF(保費分齡表對應=2,IF(總檢核,IF(A27="","",'試算表(16歲-65歲)'!O8),""),""))</f>
        <v>16530</v>
      </c>
      <c r="O27" s="243"/>
      <c r="P27" s="243"/>
      <c r="Q27" s="243">
        <f ca="1">IF(N27=0,"-",IF(DPAA保額="",IF(總檢核,IF($A27="","",SUM('試算表(16歲-65歲)'!P8:AA8)),""),IF(保費分齡表對應=2,IF(總檢核,IF($A27="","",SUM('試算表(16歲-65歲)'!P8:AA8)),""),"")))</f>
        <v>0</v>
      </c>
      <c r="R27" s="243"/>
      <c r="S27" s="243"/>
      <c r="T27" s="241">
        <f t="shared" ca="1" si="7"/>
        <v>16530</v>
      </c>
      <c r="U27" s="241"/>
      <c r="V27" s="241"/>
      <c r="W27" s="241"/>
    </row>
    <row r="28" spans="1:23">
      <c r="A28" s="244">
        <f ca="1">IF(DPAA保額="",IF(總檢核,'試算表(16歲-65歲)'!A9,""),IF(保費分齡表對應=2,IF(總檢核,'試算表(16歲-65歲)'!A9,""),""))</f>
        <v>21</v>
      </c>
      <c r="B28" s="244"/>
      <c r="C28" s="244"/>
      <c r="D28" s="245">
        <f ca="1">IF(DPAA保額="",IF(總檢核,IF(A27=分齡表最大顯示年齡,"***以下空白***",IF(A28&lt;=分齡表最大顯示年齡,'試算表(16歲-65歲)'!B9,"")),""),IF(保費分齡表對應=2,IF(總檢核,IF(A27=分齡表最大顯示年齡,"***以下空白***",IF(A28&lt;=分齡表最大顯示年齡,'試算表(16歲-65歲)'!B9,"")),""),""))</f>
        <v>17500</v>
      </c>
      <c r="E28" s="245"/>
      <c r="F28" s="245"/>
      <c r="G28" s="246">
        <f ca="1">IF(D28=0,"-",IF(DPAA保額="",IF(總檢核,IF($A28="","",SUM('試算表(16歲-65歲)'!C9:N9)),""),IF(保費分齡表對應=2,IF(總檢核,IF($A28="","",SUM('試算表(16歲-65歲)'!C9:N9)),""),"")))</f>
        <v>0</v>
      </c>
      <c r="H28" s="246"/>
      <c r="I28" s="246"/>
      <c r="J28" s="246">
        <f t="shared" ca="1" si="6"/>
        <v>17500</v>
      </c>
      <c r="K28" s="246"/>
      <c r="L28" s="246"/>
      <c r="M28" s="246"/>
      <c r="N28" s="245">
        <f ca="1">IF(DPAA保額="",IF(總檢核,IF(A28="","",'試算表(16歲-65歲)'!O9),""),IF(保費分齡表對應=2,IF(總檢核,IF(A28="","",'試算表(16歲-65歲)'!O9),""),""))</f>
        <v>16800</v>
      </c>
      <c r="O28" s="245"/>
      <c r="P28" s="245"/>
      <c r="Q28" s="245">
        <f ca="1">IF(N28=0,"-",IF(DPAA保額="",IF(總檢核,IF($A28="","",SUM('試算表(16歲-65歲)'!P9:AA9)),""),IF(保費分齡表對應=2,IF(總檢核,IF($A28="","",SUM('試算表(16歲-65歲)'!P9:AA9)),""),"")))</f>
        <v>0</v>
      </c>
      <c r="R28" s="245"/>
      <c r="S28" s="245"/>
      <c r="T28" s="246">
        <f t="shared" ca="1" si="7"/>
        <v>16800</v>
      </c>
      <c r="U28" s="246"/>
      <c r="V28" s="246"/>
      <c r="W28" s="246"/>
    </row>
    <row r="29" spans="1:23">
      <c r="A29" s="227">
        <f ca="1">IF(DPAA保額="",IF(總檢核,'試算表(16歲-65歲)'!A10,""),IF(保費分齡表對應=2,IF(總檢核,'試算表(16歲-65歲)'!A10,""),""))</f>
        <v>22</v>
      </c>
      <c r="B29" s="227"/>
      <c r="C29" s="227"/>
      <c r="D29" s="243">
        <f ca="1">IF(DPAA保額="",IF(總檢核,IF(A28=分齡表最大顯示年齡,"***以下空白***",IF(A29&lt;=分齡表最大顯示年齡,'試算表(16歲-65歲)'!B10,"")),""),IF(保費分齡表對應=2,IF(總檢核,IF(A28=分齡表最大顯示年齡,"***以下空白***",IF(A29&lt;=分齡表最大顯示年齡,'試算表(16歲-65歲)'!B10,"")),""),""))</f>
        <v>17790</v>
      </c>
      <c r="E29" s="243"/>
      <c r="F29" s="243"/>
      <c r="G29" s="241">
        <f ca="1">IF(D29=0,"-",IF(DPAA保額="",IF(總檢核,IF($A29="","",SUM('試算表(16歲-65歲)'!C10:N10)),""),IF(保費分齡表對應=2,IF(總檢核,IF($A29="","",SUM('試算表(16歲-65歲)'!C10:N10)),""),"")))</f>
        <v>0</v>
      </c>
      <c r="H29" s="241"/>
      <c r="I29" s="241"/>
      <c r="J29" s="241">
        <f t="shared" ca="1" si="6"/>
        <v>17790</v>
      </c>
      <c r="K29" s="241"/>
      <c r="L29" s="241"/>
      <c r="M29" s="241"/>
      <c r="N29" s="243">
        <f ca="1">IF(DPAA保額="",IF(總檢核,IF(A29="","",'試算表(16歲-65歲)'!O10),""),IF(保費分齡表對應=2,IF(總檢核,IF(A29="","",'試算表(16歲-65歲)'!O10),""),""))</f>
        <v>17040</v>
      </c>
      <c r="O29" s="243"/>
      <c r="P29" s="243"/>
      <c r="Q29" s="243">
        <f ca="1">IF(N29=0,"-",IF(DPAA保額="",IF(總檢核,IF($A29="","",SUM('試算表(16歲-65歲)'!P10:AA10)),""),IF(保費分齡表對應=2,IF(總檢核,IF($A29="","",SUM('試算表(16歲-65歲)'!P10:AA10)),""),"")))</f>
        <v>0</v>
      </c>
      <c r="R29" s="243"/>
      <c r="S29" s="243"/>
      <c r="T29" s="241">
        <f t="shared" ca="1" si="7"/>
        <v>17040</v>
      </c>
      <c r="U29" s="241"/>
      <c r="V29" s="241"/>
      <c r="W29" s="241"/>
    </row>
    <row r="30" spans="1:23">
      <c r="A30" s="227">
        <f ca="1">IF(DPAA保額="",IF(總檢核,'試算表(16歲-65歲)'!A11,""),IF(保費分齡表對應=2,IF(總檢核,'試算表(16歲-65歲)'!A11,""),""))</f>
        <v>23</v>
      </c>
      <c r="B30" s="227"/>
      <c r="C30" s="227"/>
      <c r="D30" s="243">
        <f ca="1">IF(DPAA保額="",IF(總檢核,IF(A29=分齡表最大顯示年齡,"***以下空白***",IF(A30&lt;=分齡表最大顯示年齡,'試算表(16歲-65歲)'!B11,"")),""),IF(保費分齡表對應=2,IF(總檢核,IF(A29=分齡表最大顯示年齡,"***以下空白***",IF(A30&lt;=分齡表最大顯示年齡,'試算表(16歲-65歲)'!B11,"")),""),""))</f>
        <v>18070</v>
      </c>
      <c r="E30" s="243"/>
      <c r="F30" s="243"/>
      <c r="G30" s="241">
        <f ca="1">IF(D30=0,"-",IF(DPAA保額="",IF(總檢核,IF($A30="","",SUM('試算表(16歲-65歲)'!C11:N11)),""),IF(保費分齡表對應=2,IF(總檢核,IF($A30="","",SUM('試算表(16歲-65歲)'!C11:N11)),""),"")))</f>
        <v>0</v>
      </c>
      <c r="H30" s="241"/>
      <c r="I30" s="241"/>
      <c r="J30" s="241">
        <f t="shared" ca="1" si="6"/>
        <v>18070</v>
      </c>
      <c r="K30" s="241"/>
      <c r="L30" s="241"/>
      <c r="M30" s="241"/>
      <c r="N30" s="243">
        <f ca="1">IF(DPAA保額="",IF(總檢核,IF(A30="","",'試算表(16歲-65歲)'!O11),""),IF(保費分齡表對應=2,IF(總檢核,IF(A30="","",'試算表(16歲-65歲)'!O11),""),""))</f>
        <v>17270</v>
      </c>
      <c r="O30" s="243"/>
      <c r="P30" s="243"/>
      <c r="Q30" s="243">
        <f ca="1">IF(N30=0,"-",IF(DPAA保額="",IF(總檢核,IF($A30="","",SUM('試算表(16歲-65歲)'!P11:AA11)),""),IF(保費分齡表對應=2,IF(總檢核,IF($A30="","",SUM('試算表(16歲-65歲)'!P11:AA11)),""),"")))</f>
        <v>0</v>
      </c>
      <c r="R30" s="243"/>
      <c r="S30" s="243"/>
      <c r="T30" s="241">
        <f t="shared" ca="1" si="7"/>
        <v>17270</v>
      </c>
      <c r="U30" s="241"/>
      <c r="V30" s="241"/>
      <c r="W30" s="241"/>
    </row>
    <row r="31" spans="1:23">
      <c r="A31" s="227">
        <f ca="1">IF(DPAA保額="",IF(總檢核,'試算表(16歲-65歲)'!A12,""),IF(保費分齡表對應=2,IF(總檢核,'試算表(16歲-65歲)'!A12,""),""))</f>
        <v>24</v>
      </c>
      <c r="B31" s="227"/>
      <c r="C31" s="227"/>
      <c r="D31" s="243">
        <f ca="1">IF(DPAA保額="",IF(總檢核,IF(A30=分齡表最大顯示年齡,"***以下空白***",IF(A31&lt;=分齡表最大顯示年齡,'試算表(16歲-65歲)'!B12,"")),""),IF(保費分齡表對應=2,IF(總檢核,IF(A30=分齡表最大顯示年齡,"***以下空白***",IF(A31&lt;=分齡表最大顯示年齡,'試算表(16歲-65歲)'!B12,"")),""),""))</f>
        <v>18350</v>
      </c>
      <c r="E31" s="243"/>
      <c r="F31" s="243"/>
      <c r="G31" s="241">
        <f ca="1">IF(D31=0,"-",IF(DPAA保額="",IF(總檢核,IF($A31="","",SUM('試算表(16歲-65歲)'!C12:N12)),""),IF(保費分齡表對應=2,IF(總檢核,IF($A31="","",SUM('試算表(16歲-65歲)'!C12:N12)),""),"")))</f>
        <v>0</v>
      </c>
      <c r="H31" s="241"/>
      <c r="I31" s="241"/>
      <c r="J31" s="241">
        <f t="shared" ca="1" si="6"/>
        <v>18350</v>
      </c>
      <c r="K31" s="241"/>
      <c r="L31" s="241"/>
      <c r="M31" s="241"/>
      <c r="N31" s="243">
        <f ca="1">IF(DPAA保額="",IF(總檢核,IF(A31="","",'試算表(16歲-65歲)'!O12),""),IF(保費分齡表對應=2,IF(總檢核,IF(A31="","",'試算表(16歲-65歲)'!O12),""),""))</f>
        <v>17480</v>
      </c>
      <c r="O31" s="243"/>
      <c r="P31" s="243"/>
      <c r="Q31" s="243">
        <f ca="1">IF(N31=0,"-",IF(DPAA保額="",IF(總檢核,IF($A31="","",SUM('試算表(16歲-65歲)'!P12:AA12)),""),IF(保費分齡表對應=2,IF(總檢核,IF($A31="","",SUM('試算表(16歲-65歲)'!P12:AA12)),""),"")))</f>
        <v>0</v>
      </c>
      <c r="R31" s="243"/>
      <c r="S31" s="243"/>
      <c r="T31" s="241">
        <f t="shared" ca="1" si="7"/>
        <v>17480</v>
      </c>
      <c r="U31" s="241"/>
      <c r="V31" s="241"/>
      <c r="W31" s="241"/>
    </row>
    <row r="32" spans="1:23">
      <c r="A32" s="227">
        <f ca="1">IF(DPAA保額="",IF(總檢核,'試算表(16歲-65歲)'!A13,""),IF(保費分齡表對應=2,IF(總檢核,'試算表(16歲-65歲)'!A13,""),""))</f>
        <v>25</v>
      </c>
      <c r="B32" s="227"/>
      <c r="C32" s="227"/>
      <c r="D32" s="243">
        <f ca="1">IF(DPAA保額="",IF(總檢核,IF(A31=分齡表最大顯示年齡,"***以下空白***",IF(A32&lt;=分齡表最大顯示年齡,'試算表(16歲-65歲)'!B13,"")),""),IF(保費分齡表對應=2,IF(總檢核,IF(A31=分齡表最大顯示年齡,"***以下空白***",IF(A32&lt;=分齡表最大顯示年齡,'試算表(16歲-65歲)'!B13,"")),""),""))</f>
        <v>18620</v>
      </c>
      <c r="E32" s="243"/>
      <c r="F32" s="243"/>
      <c r="G32" s="241">
        <f ca="1">IF(D32=0,"-",IF(DPAA保額="",IF(總檢核,IF($A32="","",SUM('試算表(16歲-65歲)'!C13:N13)),""),IF(保費分齡表對應=2,IF(總檢核,IF($A32="","",SUM('試算表(16歲-65歲)'!C13:N13)),""),"")))</f>
        <v>0</v>
      </c>
      <c r="H32" s="241"/>
      <c r="I32" s="241"/>
      <c r="J32" s="241">
        <f t="shared" ca="1" si="6"/>
        <v>18620</v>
      </c>
      <c r="K32" s="241"/>
      <c r="L32" s="241"/>
      <c r="M32" s="241"/>
      <c r="N32" s="243">
        <f ca="1">IF(DPAA保額="",IF(總檢核,IF(A32="","",'試算表(16歲-65歲)'!O13),""),IF(保費分齡表對應=2,IF(總檢核,IF(A32="","",'試算表(16歲-65歲)'!O13),""),""))</f>
        <v>17670</v>
      </c>
      <c r="O32" s="243"/>
      <c r="P32" s="243"/>
      <c r="Q32" s="243">
        <f ca="1">IF(N32=0,"-",IF(DPAA保額="",IF(總檢核,IF($A32="","",SUM('試算表(16歲-65歲)'!P13:AA13)),""),IF(保費分齡表對應=2,IF(總檢核,IF($A32="","",SUM('試算表(16歲-65歲)'!P13:AA13)),""),"")))</f>
        <v>0</v>
      </c>
      <c r="R32" s="243"/>
      <c r="S32" s="243"/>
      <c r="T32" s="241">
        <f t="shared" ca="1" si="7"/>
        <v>17670</v>
      </c>
      <c r="U32" s="241"/>
      <c r="V32" s="241"/>
      <c r="W32" s="241"/>
    </row>
    <row r="33" spans="1:23">
      <c r="A33" s="244">
        <f ca="1">IF(DPAA保額="",IF(總檢核,'試算表(16歲-65歲)'!A14,""),IF(保費分齡表對應=2,IF(總檢核,'試算表(16歲-65歲)'!A14,""),""))</f>
        <v>26</v>
      </c>
      <c r="B33" s="244"/>
      <c r="C33" s="244"/>
      <c r="D33" s="245">
        <f ca="1">IF(DPAA保額="",IF(總檢核,IF(A32=分齡表最大顯示年齡,"***以下空白***",IF(A33&lt;=分齡表最大顯示年齡,'試算表(16歲-65歲)'!B14,"")),""),IF(保費分齡表對應=2,IF(總檢核,IF(A32=分齡表最大顯示年齡,"***以下空白***",IF(A33&lt;=分齡表最大顯示年齡,'試算表(16歲-65歲)'!B14,"")),""),""))</f>
        <v>18930</v>
      </c>
      <c r="E33" s="245"/>
      <c r="F33" s="245"/>
      <c r="G33" s="246">
        <f ca="1">IF(D33=0,"-",IF(DPAA保額="",IF(總檢核,IF($A33="","",SUM('試算表(16歲-65歲)'!C14:N14)),""),IF(保費分齡表對應=2,IF(總檢核,IF($A33="","",SUM('試算表(16歲-65歲)'!C14:N14)),""),"")))</f>
        <v>0</v>
      </c>
      <c r="H33" s="246"/>
      <c r="I33" s="246"/>
      <c r="J33" s="246">
        <f t="shared" ca="1" si="6"/>
        <v>18930</v>
      </c>
      <c r="K33" s="246"/>
      <c r="L33" s="246"/>
      <c r="M33" s="246"/>
      <c r="N33" s="245">
        <f ca="1">IF(DPAA保額="",IF(總檢核,IF(A33="","",'試算表(16歲-65歲)'!O14),""),IF(保費分齡表對應=2,IF(總檢核,IF(A33="","",'試算表(16歲-65歲)'!O14),""),""))</f>
        <v>17860</v>
      </c>
      <c r="O33" s="245"/>
      <c r="P33" s="245"/>
      <c r="Q33" s="245">
        <f ca="1">IF(N33=0,"-",IF(DPAA保額="",IF(總檢核,IF($A33="","",SUM('試算表(16歲-65歲)'!P14:AA14)),""),IF(保費分齡表對應=2,IF(總檢核,IF($A33="","",SUM('試算表(16歲-65歲)'!P14:AA14)),""),"")))</f>
        <v>0</v>
      </c>
      <c r="R33" s="245"/>
      <c r="S33" s="245"/>
      <c r="T33" s="246">
        <f t="shared" ca="1" si="7"/>
        <v>17860</v>
      </c>
      <c r="U33" s="246"/>
      <c r="V33" s="246"/>
      <c r="W33" s="246"/>
    </row>
    <row r="34" spans="1:23">
      <c r="A34" s="227">
        <f ca="1">IF(DPAA保額="",IF(總檢核,'試算表(16歲-65歲)'!A15,""),IF(保費分齡表對應=2,IF(總檢核,'試算表(16歲-65歲)'!A15,""),""))</f>
        <v>27</v>
      </c>
      <c r="B34" s="227"/>
      <c r="C34" s="227"/>
      <c r="D34" s="243">
        <f ca="1">IF(DPAA保額="",IF(總檢核,IF(A33=分齡表最大顯示年齡,"***以下空白***",IF(A34&lt;=分齡表最大顯示年齡,'試算表(16歲-65歲)'!B15,"")),""),IF(保費分齡表對應=2,IF(總檢核,IF(A33=分齡表最大顯示年齡,"***以下空白***",IF(A34&lt;=分齡表最大顯示年齡,'試算表(16歲-65歲)'!B15,"")),""),""))</f>
        <v>19230</v>
      </c>
      <c r="E34" s="243"/>
      <c r="F34" s="243"/>
      <c r="G34" s="241">
        <f ca="1">IF(D34=0,"-",IF(DPAA保額="",IF(總檢核,IF($A34="","",SUM('試算表(16歲-65歲)'!C15:N15)),""),IF(保費分齡表對應=2,IF(總檢核,IF($A34="","",SUM('試算表(16歲-65歲)'!C15:N15)),""),"")))</f>
        <v>0</v>
      </c>
      <c r="H34" s="241"/>
      <c r="I34" s="241"/>
      <c r="J34" s="241">
        <f t="shared" ca="1" si="6"/>
        <v>19230</v>
      </c>
      <c r="K34" s="241"/>
      <c r="L34" s="241"/>
      <c r="M34" s="241"/>
      <c r="N34" s="243">
        <f ca="1">IF(DPAA保額="",IF(總檢核,IF(A34="","",'試算表(16歲-65歲)'!O15),""),IF(保費分齡表對應=2,IF(總檢核,IF(A34="","",'試算表(16歲-65歲)'!O15),""),""))</f>
        <v>18040</v>
      </c>
      <c r="O34" s="243"/>
      <c r="P34" s="243"/>
      <c r="Q34" s="243">
        <f ca="1">IF(N34=0,"-",IF(DPAA保額="",IF(總檢核,IF($A34="","",SUM('試算表(16歲-65歲)'!P15:AA15)),""),IF(保費分齡表對應=2,IF(總檢核,IF($A34="","",SUM('試算表(16歲-65歲)'!P15:AA15)),""),"")))</f>
        <v>0</v>
      </c>
      <c r="R34" s="243"/>
      <c r="S34" s="243"/>
      <c r="T34" s="241">
        <f t="shared" ca="1" si="7"/>
        <v>18040</v>
      </c>
      <c r="U34" s="241"/>
      <c r="V34" s="241"/>
      <c r="W34" s="241"/>
    </row>
    <row r="35" spans="1:23">
      <c r="A35" s="227">
        <f ca="1">IF(DPAA保額="",IF(總檢核,'試算表(16歲-65歲)'!A16,""),IF(保費分齡表對應=2,IF(總檢核,'試算表(16歲-65歲)'!A16,""),""))</f>
        <v>28</v>
      </c>
      <c r="B35" s="227"/>
      <c r="C35" s="227"/>
      <c r="D35" s="243">
        <f ca="1">IF(DPAA保額="",IF(總檢核,IF(A34=分齡表最大顯示年齡,"***以下空白***",IF(A35&lt;=分齡表最大顯示年齡,'試算表(16歲-65歲)'!B16,"")),""),IF(保費分齡表對應=2,IF(總檢核,IF(A34=分齡表最大顯示年齡,"***以下空白***",IF(A35&lt;=分齡表最大顯示年齡,'試算表(16歲-65歲)'!B16,"")),""),""))</f>
        <v>19540</v>
      </c>
      <c r="E35" s="243"/>
      <c r="F35" s="243"/>
      <c r="G35" s="241">
        <f ca="1">IF(D35=0,"-",IF(DPAA保額="",IF(總檢核,IF($A35="","",SUM('試算表(16歲-65歲)'!C16:N16)),""),IF(保費分齡表對應=2,IF(總檢核,IF($A35="","",SUM('試算表(16歲-65歲)'!C16:N16)),""),"")))</f>
        <v>0</v>
      </c>
      <c r="H35" s="241"/>
      <c r="I35" s="241"/>
      <c r="J35" s="241">
        <f t="shared" ca="1" si="6"/>
        <v>19540</v>
      </c>
      <c r="K35" s="241"/>
      <c r="L35" s="241"/>
      <c r="M35" s="241"/>
      <c r="N35" s="243">
        <f ca="1">IF(DPAA保額="",IF(總檢核,IF(A35="","",'試算表(16歲-65歲)'!O16),""),IF(保費分齡表對應=2,IF(總檢核,IF(A35="","",'試算表(16歲-65歲)'!O16),""),""))</f>
        <v>18180</v>
      </c>
      <c r="O35" s="243"/>
      <c r="P35" s="243"/>
      <c r="Q35" s="243">
        <f ca="1">IF(N35=0,"-",IF(DPAA保額="",IF(總檢核,IF($A35="","",SUM('試算表(16歲-65歲)'!P16:AA16)),""),IF(保費分齡表對應=2,IF(總檢核,IF($A35="","",SUM('試算表(16歲-65歲)'!P16:AA16)),""),"")))</f>
        <v>0</v>
      </c>
      <c r="R35" s="243"/>
      <c r="S35" s="243"/>
      <c r="T35" s="241">
        <f t="shared" ca="1" si="7"/>
        <v>18180</v>
      </c>
      <c r="U35" s="241"/>
      <c r="V35" s="241"/>
      <c r="W35" s="241"/>
    </row>
    <row r="36" spans="1:23">
      <c r="A36" s="227">
        <f ca="1">IF(DPAA保額="",IF(總檢核,'試算表(16歲-65歲)'!A17,""),IF(保費分齡表對應=2,IF(總檢核,'試算表(16歲-65歲)'!A17,""),""))</f>
        <v>29</v>
      </c>
      <c r="B36" s="227"/>
      <c r="C36" s="227"/>
      <c r="D36" s="243">
        <f ca="1">IF(DPAA保額="",IF(總檢核,IF(A35=分齡表最大顯示年齡,"***以下空白***",IF(A36&lt;=分齡表最大顯示年齡,'試算表(16歲-65歲)'!B17,"")),""),IF(保費分齡表對應=2,IF(總檢核,IF(A35=分齡表最大顯示年齡,"***以下空白***",IF(A36&lt;=分齡表最大顯示年齡,'試算表(16歲-65歲)'!B17,"")),""),""))</f>
        <v>19850</v>
      </c>
      <c r="E36" s="243"/>
      <c r="F36" s="243"/>
      <c r="G36" s="241">
        <f ca="1">IF(D36=0,"-",IF(DPAA保額="",IF(總檢核,IF($A36="","",SUM('試算表(16歲-65歲)'!C17:N17)),""),IF(保費分齡表對應=2,IF(總檢核,IF($A36="","",SUM('試算表(16歲-65歲)'!C17:N17)),""),"")))</f>
        <v>0</v>
      </c>
      <c r="H36" s="241"/>
      <c r="I36" s="241"/>
      <c r="J36" s="241">
        <f t="shared" ca="1" si="6"/>
        <v>19850</v>
      </c>
      <c r="K36" s="241"/>
      <c r="L36" s="241"/>
      <c r="M36" s="241"/>
      <c r="N36" s="243">
        <f ca="1">IF(DPAA保額="",IF(總檢核,IF(A36="","",'試算表(16歲-65歲)'!O17),""),IF(保費分齡表對應=2,IF(總檢核,IF(A36="","",'試算表(16歲-65歲)'!O17),""),""))</f>
        <v>18320</v>
      </c>
      <c r="O36" s="243"/>
      <c r="P36" s="243"/>
      <c r="Q36" s="243">
        <f ca="1">IF(N36=0,"-",IF(DPAA保額="",IF(總檢核,IF($A36="","",SUM('試算表(16歲-65歲)'!P17:AA17)),""),IF(保費分齡表對應=2,IF(總檢核,IF($A36="","",SUM('試算表(16歲-65歲)'!P17:AA17)),""),"")))</f>
        <v>0</v>
      </c>
      <c r="R36" s="243"/>
      <c r="S36" s="243"/>
      <c r="T36" s="241">
        <f t="shared" ca="1" si="7"/>
        <v>18320</v>
      </c>
      <c r="U36" s="241"/>
      <c r="V36" s="241"/>
      <c r="W36" s="241"/>
    </row>
    <row r="37" spans="1:23">
      <c r="A37" s="227">
        <f ca="1">IF(DPAA保額="",IF(總檢核,'試算表(16歲-65歲)'!A18,""),IF(保費分齡表對應=2,IF(總檢核,'試算表(16歲-65歲)'!A18,""),""))</f>
        <v>30</v>
      </c>
      <c r="B37" s="227"/>
      <c r="C37" s="227"/>
      <c r="D37" s="243">
        <f ca="1">IF(DPAA保額="",IF(總檢核,IF(A36=分齡表最大顯示年齡,"***以下空白***",IF(A37&lt;=分齡表最大顯示年齡,'試算表(16歲-65歲)'!B18,"")),""),IF(保費分齡表對應=2,IF(總檢核,IF(A36=分齡表最大顯示年齡,"***以下空白***",IF(A37&lt;=分齡表最大顯示年齡,'試算表(16歲-65歲)'!B18,"")),""),""))</f>
        <v>20160</v>
      </c>
      <c r="E37" s="243"/>
      <c r="F37" s="243"/>
      <c r="G37" s="241">
        <f ca="1">IF(D37=0,"-",IF(DPAA保額="",IF(總檢核,IF($A37="","",SUM('試算表(16歲-65歲)'!C18:N18)),""),IF(保費分齡表對應=2,IF(總檢核,IF($A37="","",SUM('試算表(16歲-65歲)'!C18:N18)),""),"")))</f>
        <v>0</v>
      </c>
      <c r="H37" s="241"/>
      <c r="I37" s="241"/>
      <c r="J37" s="241">
        <f t="shared" ca="1" si="6"/>
        <v>20160</v>
      </c>
      <c r="K37" s="241"/>
      <c r="L37" s="241"/>
      <c r="M37" s="241"/>
      <c r="N37" s="243">
        <f ca="1">IF(DPAA保額="",IF(總檢核,IF(A37="","",'試算表(16歲-65歲)'!O18),""),IF(保費分齡表對應=2,IF(總檢核,IF(A37="","",'試算表(16歲-65歲)'!O18),""),""))</f>
        <v>18440</v>
      </c>
      <c r="O37" s="243"/>
      <c r="P37" s="243"/>
      <c r="Q37" s="243">
        <f ca="1">IF(N37=0,"-",IF(DPAA保額="",IF(總檢核,IF($A37="","",SUM('試算表(16歲-65歲)'!P18:AA18)),""),IF(保費分齡表對應=2,IF(總檢核,IF($A37="","",SUM('試算表(16歲-65歲)'!P18:AA18)),""),"")))</f>
        <v>0</v>
      </c>
      <c r="R37" s="243"/>
      <c r="S37" s="243"/>
      <c r="T37" s="241">
        <f t="shared" ca="1" si="7"/>
        <v>18440</v>
      </c>
      <c r="U37" s="241"/>
      <c r="V37" s="241"/>
      <c r="W37" s="241"/>
    </row>
    <row r="38" spans="1:23">
      <c r="A38" s="244">
        <f ca="1">IF(DPAA保額="",IF(總檢核,'試算表(16歲-65歲)'!A19,""),IF(保費分齡表對應=2,IF(總檢核,'試算表(16歲-65歲)'!A19,""),""))</f>
        <v>31</v>
      </c>
      <c r="B38" s="244"/>
      <c r="C38" s="244"/>
      <c r="D38" s="245">
        <f ca="1">IF(DPAA保額="",IF(總檢核,IF(A37=分齡表最大顯示年齡,"***以下空白***",IF(A38&lt;=分齡表最大顯示年齡,'試算表(16歲-65歲)'!B19,"")),""),IF(保費分齡表對應=2,IF(總檢核,IF(A37=分齡表最大顯示年齡,"***以下空白***",IF(A38&lt;=分齡表最大顯示年齡,'試算表(16歲-65歲)'!B19,"")),""),""))</f>
        <v>20570</v>
      </c>
      <c r="E38" s="245"/>
      <c r="F38" s="245"/>
      <c r="G38" s="246">
        <f ca="1">IF(D38=0,"-",IF(DPAA保額="",IF(總檢核,IF($A38="","",SUM('試算表(16歲-65歲)'!C19:N19)),""),IF(保費分齡表對應=2,IF(總檢核,IF($A38="","",SUM('試算表(16歲-65歲)'!C19:N19)),""),"")))</f>
        <v>0</v>
      </c>
      <c r="H38" s="246"/>
      <c r="I38" s="246"/>
      <c r="J38" s="246">
        <f t="shared" ca="1" si="6"/>
        <v>20570</v>
      </c>
      <c r="K38" s="246"/>
      <c r="L38" s="246"/>
      <c r="M38" s="246"/>
      <c r="N38" s="245">
        <f ca="1">IF(DPAA保額="",IF(總檢核,IF(A38="","",'試算表(16歲-65歲)'!O19),""),IF(保費分齡表對應=2,IF(總檢核,IF(A38="","",'試算表(16歲-65歲)'!O19),""),""))</f>
        <v>18720</v>
      </c>
      <c r="O38" s="245"/>
      <c r="P38" s="245"/>
      <c r="Q38" s="245">
        <f ca="1">IF(N38=0,"-",IF(DPAA保額="",IF(總檢核,IF($A38="","",SUM('試算表(16歲-65歲)'!P19:AA19)),""),IF(保費分齡表對應=2,IF(總檢核,IF($A38="","",SUM('試算表(16歲-65歲)'!P19:AA19)),""),"")))</f>
        <v>0</v>
      </c>
      <c r="R38" s="245"/>
      <c r="S38" s="245"/>
      <c r="T38" s="246">
        <f t="shared" ca="1" si="7"/>
        <v>18720</v>
      </c>
      <c r="U38" s="246"/>
      <c r="V38" s="246"/>
      <c r="W38" s="246"/>
    </row>
    <row r="39" spans="1:23">
      <c r="A39" s="227">
        <f ca="1">IF(DPAA保額="",IF(總檢核,'試算表(16歲-65歲)'!A20,""),IF(保費分齡表對應=2,IF(總檢核,'試算表(16歲-65歲)'!A20,""),""))</f>
        <v>32</v>
      </c>
      <c r="B39" s="227"/>
      <c r="C39" s="227"/>
      <c r="D39" s="243">
        <f ca="1">IF(DPAA保額="",IF(總檢核,IF(A38=分齡表最大顯示年齡,"***以下空白***",IF(A39&lt;=分齡表最大顯示年齡,'試算表(16歲-65歲)'!B20,"")),""),IF(保費分齡表對應=2,IF(總檢核,IF(A38=分齡表最大顯示年齡,"***以下空白***",IF(A39&lt;=分齡表最大顯示年齡,'試算表(16歲-65歲)'!B20,"")),""),""))</f>
        <v>20980</v>
      </c>
      <c r="E39" s="243"/>
      <c r="F39" s="243"/>
      <c r="G39" s="241">
        <f ca="1">IF(D39=0,"-",IF(DPAA保額="",IF(總檢核,IF($A39="","",SUM('試算表(16歲-65歲)'!C20:N20)),""),IF(保費分齡表對應=2,IF(總檢核,IF($A39="","",SUM('試算表(16歲-65歲)'!C20:N20)),""),"")))</f>
        <v>0</v>
      </c>
      <c r="H39" s="241"/>
      <c r="I39" s="241"/>
      <c r="J39" s="241">
        <f t="shared" ca="1" si="6"/>
        <v>20980</v>
      </c>
      <c r="K39" s="241"/>
      <c r="L39" s="241"/>
      <c r="M39" s="241"/>
      <c r="N39" s="243">
        <f ca="1">IF(DPAA保額="",IF(總檢核,IF(A39="","",'試算表(16歲-65歲)'!O20),""),IF(保費分齡表對應=2,IF(總檢核,IF(A39="","",'試算表(16歲-65歲)'!O20),""),""))</f>
        <v>19000</v>
      </c>
      <c r="O39" s="243"/>
      <c r="P39" s="243"/>
      <c r="Q39" s="243">
        <f ca="1">IF(N39=0,"-",IF(DPAA保額="",IF(總檢核,IF($A39="","",SUM('試算表(16歲-65歲)'!P20:AA20)),""),IF(保費分齡表對應=2,IF(總檢核,IF($A39="","",SUM('試算表(16歲-65歲)'!P20:AA20)),""),"")))</f>
        <v>0</v>
      </c>
      <c r="R39" s="243"/>
      <c r="S39" s="243"/>
      <c r="T39" s="241">
        <f t="shared" ca="1" si="7"/>
        <v>19000</v>
      </c>
      <c r="U39" s="241"/>
      <c r="V39" s="241"/>
      <c r="W39" s="241"/>
    </row>
    <row r="40" spans="1:23">
      <c r="A40" s="227">
        <f ca="1">IF(DPAA保額="",IF(總檢核,'試算表(16歲-65歲)'!A21,""),IF(保費分齡表對應=2,IF(總檢核,'試算表(16歲-65歲)'!A21,""),""))</f>
        <v>33</v>
      </c>
      <c r="B40" s="227"/>
      <c r="C40" s="227"/>
      <c r="D40" s="243">
        <f ca="1">IF(DPAA保額="",IF(總檢核,IF(A39=分齡表最大顯示年齡,"***以下空白***",IF(A40&lt;=分齡表最大顯示年齡,'試算表(16歲-65歲)'!B21,"")),""),IF(保費分齡表對應=2,IF(總檢核,IF(A39=分齡表最大顯示年齡,"***以下空白***",IF(A40&lt;=分齡表最大顯示年齡,'試算表(16歲-65歲)'!B21,"")),""),""))</f>
        <v>21430</v>
      </c>
      <c r="E40" s="243"/>
      <c r="F40" s="243"/>
      <c r="G40" s="241">
        <f ca="1">IF(D40=0,"-",IF(DPAA保額="",IF(總檢核,IF($A40="","",SUM('試算表(16歲-65歲)'!C21:N21)),""),IF(保費分齡表對應=2,IF(總檢核,IF($A40="","",SUM('試算表(16歲-65歲)'!C21:N21)),""),"")))</f>
        <v>0</v>
      </c>
      <c r="H40" s="241"/>
      <c r="I40" s="241"/>
      <c r="J40" s="241">
        <f t="shared" ca="1" si="6"/>
        <v>21430</v>
      </c>
      <c r="K40" s="241"/>
      <c r="L40" s="241"/>
      <c r="M40" s="241"/>
      <c r="N40" s="243">
        <f ca="1">IF(DPAA保額="",IF(總檢核,IF(A40="","",'試算表(16歲-65歲)'!O21),""),IF(保費分齡表對應=2,IF(總檢核,IF(A40="","",'試算表(16歲-65歲)'!O21),""),""))</f>
        <v>19290</v>
      </c>
      <c r="O40" s="243"/>
      <c r="P40" s="243"/>
      <c r="Q40" s="243">
        <f ca="1">IF(N40=0,"-",IF(DPAA保額="",IF(總檢核,IF($A40="","",SUM('試算表(16歲-65歲)'!P21:AA21)),""),IF(保費分齡表對應=2,IF(總檢核,IF($A40="","",SUM('試算表(16歲-65歲)'!P21:AA21)),""),"")))</f>
        <v>0</v>
      </c>
      <c r="R40" s="243"/>
      <c r="S40" s="243"/>
      <c r="T40" s="241">
        <f t="shared" ca="1" si="7"/>
        <v>19290</v>
      </c>
      <c r="U40" s="241"/>
      <c r="V40" s="241"/>
      <c r="W40" s="241"/>
    </row>
    <row r="41" spans="1:23">
      <c r="A41" s="227">
        <f ca="1">IF(DPAA保額="",IF(總檢核,'試算表(16歲-65歲)'!A22,""),IF(保費分齡表對應=2,IF(總檢核,'試算表(16歲-65歲)'!A22,""),""))</f>
        <v>34</v>
      </c>
      <c r="B41" s="227"/>
      <c r="C41" s="227"/>
      <c r="D41" s="243">
        <f ca="1">IF(DPAA保額="",IF(總檢核,IF(A40=分齡表最大顯示年齡,"***以下空白***",IF(A41&lt;=分齡表最大顯示年齡,'試算表(16歲-65歲)'!B22,"")),""),IF(保費分齡表對應=2,IF(總檢核,IF(A40=分齡表最大顯示年齡,"***以下空白***",IF(A41&lt;=分齡表最大顯示年齡,'試算表(16歲-65歲)'!B22,"")),""),""))</f>
        <v>21880</v>
      </c>
      <c r="E41" s="243"/>
      <c r="F41" s="243"/>
      <c r="G41" s="241">
        <f ca="1">IF(D41=0,"-",IF(DPAA保額="",IF(總檢核,IF($A41="","",SUM('試算表(16歲-65歲)'!C22:N22)),""),IF(保費分齡表對應=2,IF(總檢核,IF($A41="","",SUM('試算表(16歲-65歲)'!C22:N22)),""),"")))</f>
        <v>0</v>
      </c>
      <c r="H41" s="241"/>
      <c r="I41" s="241"/>
      <c r="J41" s="241">
        <f t="shared" ca="1" si="6"/>
        <v>21880</v>
      </c>
      <c r="K41" s="241"/>
      <c r="L41" s="241"/>
      <c r="M41" s="241"/>
      <c r="N41" s="243">
        <f ca="1">IF(DPAA保額="",IF(總檢核,IF(A41="","",'試算表(16歲-65歲)'!O22),""),IF(保費分齡表對應=2,IF(總檢核,IF(A41="","",'試算表(16歲-65歲)'!O22),""),""))</f>
        <v>19610</v>
      </c>
      <c r="O41" s="243"/>
      <c r="P41" s="243"/>
      <c r="Q41" s="243">
        <f ca="1">IF(N41=0,"-",IF(DPAA保額="",IF(總檢核,IF($A41="","",SUM('試算表(16歲-65歲)'!P22:AA22)),""),IF(保費分齡表對應=2,IF(總檢核,IF($A41="","",SUM('試算表(16歲-65歲)'!P22:AA22)),""),"")))</f>
        <v>0</v>
      </c>
      <c r="R41" s="243"/>
      <c r="S41" s="243"/>
      <c r="T41" s="241">
        <f t="shared" ca="1" si="7"/>
        <v>19610</v>
      </c>
      <c r="U41" s="241"/>
      <c r="V41" s="241"/>
      <c r="W41" s="241"/>
    </row>
    <row r="42" spans="1:23">
      <c r="A42" s="227">
        <f ca="1">IF(DPAA保額="",IF(總檢核,'試算表(16歲-65歲)'!A23,""),IF(保費分齡表對應=2,IF(總檢核,'試算表(16歲-65歲)'!A23,""),""))</f>
        <v>35</v>
      </c>
      <c r="B42" s="227"/>
      <c r="C42" s="227"/>
      <c r="D42" s="243">
        <f ca="1">IF(DPAA保額="",IF(總檢核,IF(A41=分齡表最大顯示年齡,"***以下空白***",IF(A42&lt;=分齡表最大顯示年齡,'試算表(16歲-65歲)'!B23,"")),""),IF(保費分齡表對應=2,IF(總檢核,IF(A41=分齡表最大顯示年齡,"***以下空白***",IF(A42&lt;=分齡表最大顯示年齡,'試算表(16歲-65歲)'!B23,"")),""),""))</f>
        <v>22370</v>
      </c>
      <c r="E42" s="243"/>
      <c r="F42" s="243"/>
      <c r="G42" s="241">
        <f ca="1">IF(D42=0,"-",IF(DPAA保額="",IF(總檢核,IF($A42="","",SUM('試算表(16歲-65歲)'!C23:N23)),""),IF(保費分齡表對應=2,IF(總檢核,IF($A42="","",SUM('試算表(16歲-65歲)'!C23:N23)),""),"")))</f>
        <v>0</v>
      </c>
      <c r="H42" s="241"/>
      <c r="I42" s="241"/>
      <c r="J42" s="241">
        <f t="shared" ca="1" si="6"/>
        <v>22370</v>
      </c>
      <c r="K42" s="241"/>
      <c r="L42" s="241"/>
      <c r="M42" s="241"/>
      <c r="N42" s="243">
        <f ca="1">IF(DPAA保額="",IF(總檢核,IF(A42="","",'試算表(16歲-65歲)'!O23),""),IF(保費分齡表對應=2,IF(總檢核,IF(A42="","",'試算表(16歲-65歲)'!O23),""),""))</f>
        <v>19960</v>
      </c>
      <c r="O42" s="243"/>
      <c r="P42" s="243"/>
      <c r="Q42" s="243">
        <f ca="1">IF(N42=0,"-",IF(DPAA保額="",IF(總檢核,IF($A42="","",SUM('試算表(16歲-65歲)'!P23:AA23)),""),IF(保費分齡表對應=2,IF(總檢核,IF($A42="","",SUM('試算表(16歲-65歲)'!P23:AA23)),""),"")))</f>
        <v>0</v>
      </c>
      <c r="R42" s="243"/>
      <c r="S42" s="243"/>
      <c r="T42" s="241">
        <f t="shared" ca="1" si="7"/>
        <v>19960</v>
      </c>
      <c r="U42" s="241"/>
      <c r="V42" s="241"/>
      <c r="W42" s="241"/>
    </row>
    <row r="43" spans="1:23">
      <c r="A43" s="244">
        <f ca="1">IF(DPAA保額="",IF(總檢核,'試算表(16歲-65歲)'!A24,""),IF(保費分齡表對應=2,IF(總檢核,'試算表(16歲-65歲)'!A24,""),""))</f>
        <v>36</v>
      </c>
      <c r="B43" s="244"/>
      <c r="C43" s="244"/>
      <c r="D43" s="245">
        <f ca="1">IF(DPAA保額="",IF(總檢核,IF(A42=分齡表最大顯示年齡,"***以下空白***",IF(A43&lt;=分齡表最大顯示年齡,'試算表(16歲-65歲)'!B24,"")),""),IF(保費分齡表對應=2,IF(總檢核,IF(A42=分齡表最大顯示年齡,"***以下空白***",IF(A43&lt;=分齡表最大顯示年齡,'試算表(16歲-65歲)'!B24,"")),""),""))</f>
        <v>22900</v>
      </c>
      <c r="E43" s="245"/>
      <c r="F43" s="245"/>
      <c r="G43" s="246">
        <f ca="1">IF(D43=0,"-",IF(DPAA保額="",IF(總檢核,IF($A43="","",SUM('試算表(16歲-65歲)'!C24:N24)),""),IF(保費分齡表對應=2,IF(總檢核,IF($A43="","",SUM('試算表(16歲-65歲)'!C24:N24)),""),"")))</f>
        <v>0</v>
      </c>
      <c r="H43" s="246"/>
      <c r="I43" s="246"/>
      <c r="J43" s="246">
        <f t="shared" ca="1" si="6"/>
        <v>22900</v>
      </c>
      <c r="K43" s="246"/>
      <c r="L43" s="246"/>
      <c r="M43" s="246"/>
      <c r="N43" s="245">
        <f ca="1">IF(DPAA保額="",IF(總檢核,IF(A43="","",'試算表(16歲-65歲)'!O24),""),IF(保費分齡表對應=2,IF(總檢核,IF(A43="","",'試算表(16歲-65歲)'!O24),""),""))</f>
        <v>20360</v>
      </c>
      <c r="O43" s="245"/>
      <c r="P43" s="245"/>
      <c r="Q43" s="245">
        <f ca="1">IF(N43=0,"-",IF(DPAA保額="",IF(總檢核,IF($A43="","",SUM('試算表(16歲-65歲)'!P24:AA24)),""),IF(保費分齡表對應=2,IF(總檢核,IF($A43="","",SUM('試算表(16歲-65歲)'!P24:AA24)),""),"")))</f>
        <v>0</v>
      </c>
      <c r="R43" s="245"/>
      <c r="S43" s="245"/>
      <c r="T43" s="246">
        <f t="shared" ca="1" si="7"/>
        <v>20360</v>
      </c>
      <c r="U43" s="246"/>
      <c r="V43" s="246"/>
      <c r="W43" s="246"/>
    </row>
    <row r="44" spans="1:23">
      <c r="A44" s="227">
        <f ca="1">IF(DPAA保額="",IF(總檢核,'試算表(16歲-65歲)'!A25,""),IF(保費分齡表對應=2,IF(總檢核,'試算表(16歲-65歲)'!A25,""),""))</f>
        <v>37</v>
      </c>
      <c r="B44" s="227"/>
      <c r="C44" s="227"/>
      <c r="D44" s="243">
        <f ca="1">IF(DPAA保額="",IF(總檢核,IF(A43=分齡表最大顯示年齡,"***以下空白***",IF(A44&lt;=分齡表最大顯示年齡,'試算表(16歲-65歲)'!B25,"")),""),IF(保費分齡表對應=2,IF(總檢核,IF(A43=分齡表最大顯示年齡,"***以下空白***",IF(A44&lt;=分齡表最大顯示年齡,'試算表(16歲-65歲)'!B25,"")),""),""))</f>
        <v>23470</v>
      </c>
      <c r="E44" s="243"/>
      <c r="F44" s="243"/>
      <c r="G44" s="241">
        <f ca="1">IF(D44=0,"-",IF(DPAA保額="",IF(總檢核,IF($A44="","",SUM('試算表(16歲-65歲)'!C25:N25)),""),IF(保費分齡表對應=2,IF(總檢核,IF($A44="","",SUM('試算表(16歲-65歲)'!C25:N25)),""),"")))</f>
        <v>0</v>
      </c>
      <c r="H44" s="241"/>
      <c r="I44" s="241"/>
      <c r="J44" s="241">
        <f t="shared" ca="1" si="6"/>
        <v>23470</v>
      </c>
      <c r="K44" s="241"/>
      <c r="L44" s="241"/>
      <c r="M44" s="241"/>
      <c r="N44" s="243">
        <f ca="1">IF(DPAA保額="",IF(總檢核,IF(A44="","",'試算表(16歲-65歲)'!O25),""),IF(保費分齡表對應=2,IF(總檢核,IF(A44="","",'試算表(16歲-65歲)'!O25),""),""))</f>
        <v>20810</v>
      </c>
      <c r="O44" s="243"/>
      <c r="P44" s="243"/>
      <c r="Q44" s="243">
        <f ca="1">IF(N44=0,"-",IF(DPAA保額="",IF(總檢核,IF($A44="","",SUM('試算表(16歲-65歲)'!P25:AA25)),""),IF(保費分齡表對應=2,IF(總檢核,IF($A44="","",SUM('試算表(16歲-65歲)'!P25:AA25)),""),"")))</f>
        <v>0</v>
      </c>
      <c r="R44" s="243"/>
      <c r="S44" s="243"/>
      <c r="T44" s="241">
        <f t="shared" ca="1" si="7"/>
        <v>20810</v>
      </c>
      <c r="U44" s="241"/>
      <c r="V44" s="241"/>
      <c r="W44" s="241"/>
    </row>
    <row r="45" spans="1:23">
      <c r="A45" s="227">
        <f ca="1">IF(DPAA保額="",IF(總檢核,'試算表(16歲-65歲)'!A26,""),IF(保費分齡表對應=2,IF(總檢核,'試算表(16歲-65歲)'!A26,""),""))</f>
        <v>38</v>
      </c>
      <c r="B45" s="227"/>
      <c r="C45" s="227"/>
      <c r="D45" s="243">
        <f ca="1">IF(DPAA保額="",IF(總檢核,IF(A44=分齡表最大顯示年齡,"***以下空白***",IF(A45&lt;=分齡表最大顯示年齡,'試算表(16歲-65歲)'!B26,"")),""),IF(保費分齡表對應=2,IF(總檢核,IF(A44=分齡表最大顯示年齡,"***以下空白***",IF(A45&lt;=分齡表最大顯示年齡,'試算表(16歲-65歲)'!B26,"")),""),""))</f>
        <v>24070</v>
      </c>
      <c r="E45" s="243"/>
      <c r="F45" s="243"/>
      <c r="G45" s="241">
        <f ca="1">IF(D45=0,"-",IF(DPAA保額="",IF(總檢核,IF($A45="","",SUM('試算表(16歲-65歲)'!C26:N26)),""),IF(保費分齡表對應=2,IF(總檢核,IF($A45="","",SUM('試算表(16歲-65歲)'!C26:N26)),""),"")))</f>
        <v>0</v>
      </c>
      <c r="H45" s="241"/>
      <c r="I45" s="241"/>
      <c r="J45" s="241">
        <f t="shared" ca="1" si="6"/>
        <v>24070</v>
      </c>
      <c r="K45" s="241"/>
      <c r="L45" s="241"/>
      <c r="M45" s="241"/>
      <c r="N45" s="243">
        <f ca="1">IF(DPAA保額="",IF(總檢核,IF(A45="","",'試算表(16歲-65歲)'!O26),""),IF(保費分齡表對應=2,IF(總檢核,IF(A45="","",'試算表(16歲-65歲)'!O26),""),""))</f>
        <v>21320</v>
      </c>
      <c r="O45" s="243"/>
      <c r="P45" s="243"/>
      <c r="Q45" s="243">
        <f ca="1">IF(N45=0,"-",IF(DPAA保額="",IF(總檢核,IF($A45="","",SUM('試算表(16歲-65歲)'!P26:AA26)),""),IF(保費分齡表對應=2,IF(總檢核,IF($A45="","",SUM('試算表(16歲-65歲)'!P26:AA26)),""),"")))</f>
        <v>0</v>
      </c>
      <c r="R45" s="243"/>
      <c r="S45" s="243"/>
      <c r="T45" s="241">
        <f t="shared" ca="1" si="7"/>
        <v>21320</v>
      </c>
      <c r="U45" s="241"/>
      <c r="V45" s="241"/>
      <c r="W45" s="241"/>
    </row>
    <row r="46" spans="1:23">
      <c r="A46" s="227">
        <f ca="1">IF(DPAA保額="",IF(總檢核,'試算表(16歲-65歲)'!A27,""),IF(保費分齡表對應=2,IF(總檢核,'試算表(16歲-65歲)'!A27,""),""))</f>
        <v>39</v>
      </c>
      <c r="B46" s="227"/>
      <c r="C46" s="227"/>
      <c r="D46" s="243">
        <f ca="1">IF(DPAA保額="",IF(總檢核,IF(A45=分齡表最大顯示年齡,"***以下空白***",IF(A46&lt;=分齡表最大顯示年齡,'試算表(16歲-65歲)'!B27,"")),""),IF(保費分齡表對應=2,IF(總檢核,IF(A45=分齡表最大顯示年齡,"***以下空白***",IF(A46&lt;=分齡表最大顯示年齡,'試算表(16歲-65歲)'!B27,"")),""),""))</f>
        <v>24710</v>
      </c>
      <c r="E46" s="243"/>
      <c r="F46" s="243"/>
      <c r="G46" s="241">
        <f ca="1">IF(D46=0,"-",IF(DPAA保額="",IF(總檢核,IF($A46="","",SUM('試算表(16歲-65歲)'!C27:N27)),""),IF(保費分齡表對應=2,IF(總檢核,IF($A46="","",SUM('試算表(16歲-65歲)'!C27:N27)),""),"")))</f>
        <v>0</v>
      </c>
      <c r="H46" s="241"/>
      <c r="I46" s="241"/>
      <c r="J46" s="241">
        <f t="shared" ca="1" si="6"/>
        <v>24710</v>
      </c>
      <c r="K46" s="241"/>
      <c r="L46" s="241"/>
      <c r="M46" s="241"/>
      <c r="N46" s="243">
        <f ca="1">IF(DPAA保額="",IF(總檢核,IF(A46="","",'試算表(16歲-65歲)'!O27),""),IF(保費分齡表對應=2,IF(總檢核,IF(A46="","",'試算表(16歲-65歲)'!O27),""),""))</f>
        <v>21890</v>
      </c>
      <c r="O46" s="243"/>
      <c r="P46" s="243"/>
      <c r="Q46" s="243">
        <f ca="1">IF(N46=0,"-",IF(DPAA保額="",IF(總檢核,IF($A46="","",SUM('試算表(16歲-65歲)'!P27:AA27)),""),IF(保費分齡表對應=2,IF(總檢核,IF($A46="","",SUM('試算表(16歲-65歲)'!P27:AA27)),""),"")))</f>
        <v>0</v>
      </c>
      <c r="R46" s="243"/>
      <c r="S46" s="243"/>
      <c r="T46" s="241">
        <f t="shared" ca="1" si="7"/>
        <v>21890</v>
      </c>
      <c r="U46" s="241"/>
      <c r="V46" s="241"/>
      <c r="W46" s="241"/>
    </row>
    <row r="47" spans="1:23">
      <c r="A47" s="227">
        <f ca="1">IF(DPAA保額="",IF(總檢核,'試算表(16歲-65歲)'!A28,""),IF(保費分齡表對應=2,IF(總檢核,'試算表(16歲-65歲)'!A28,""),""))</f>
        <v>40</v>
      </c>
      <c r="B47" s="227"/>
      <c r="C47" s="227"/>
      <c r="D47" s="243">
        <f ca="1">IF(DPAA保額="",IF(總檢核,IF(A46=分齡表最大顯示年齡,"***以下空白***",IF(A47&lt;=分齡表最大顯示年齡,'試算表(16歲-65歲)'!B28,"")),""),IF(保費分齡表對應=2,IF(總檢核,IF(A46=分齡表最大顯示年齡,"***以下空白***",IF(A47&lt;=分齡表最大顯示年齡,'試算表(16歲-65歲)'!B28,"")),""),""))</f>
        <v>25380</v>
      </c>
      <c r="E47" s="243"/>
      <c r="F47" s="243"/>
      <c r="G47" s="241">
        <f ca="1">IF(D47=0,"-",IF(DPAA保額="",IF(總檢核,IF($A47="","",SUM('試算表(16歲-65歲)'!C28:N28)),""),IF(保費分齡表對應=2,IF(總檢核,IF($A47="","",SUM('試算表(16歲-65歲)'!C28:N28)),""),"")))</f>
        <v>0</v>
      </c>
      <c r="H47" s="241"/>
      <c r="I47" s="241"/>
      <c r="J47" s="241">
        <f t="shared" ca="1" si="6"/>
        <v>25380</v>
      </c>
      <c r="K47" s="241"/>
      <c r="L47" s="241"/>
      <c r="M47" s="241"/>
      <c r="N47" s="243">
        <f ca="1">IF(DPAA保額="",IF(總檢核,IF(A47="","",'試算表(16歲-65歲)'!O28),""),IF(保費分齡表對應=2,IF(總檢核,IF(A47="","",'試算表(16歲-65歲)'!O28),""),""))</f>
        <v>22580</v>
      </c>
      <c r="O47" s="243"/>
      <c r="P47" s="243"/>
      <c r="Q47" s="243">
        <f ca="1">IF(N47=0,"-",IF(DPAA保額="",IF(總檢核,IF($A47="","",SUM('試算表(16歲-65歲)'!P28:AA28)),""),IF(保費分齡表對應=2,IF(總檢核,IF($A47="","",SUM('試算表(16歲-65歲)'!P28:AA28)),""),"")))</f>
        <v>0</v>
      </c>
      <c r="R47" s="243"/>
      <c r="S47" s="243"/>
      <c r="T47" s="241">
        <f t="shared" ca="1" si="7"/>
        <v>22580</v>
      </c>
      <c r="U47" s="241"/>
      <c r="V47" s="241"/>
      <c r="W47" s="241"/>
    </row>
    <row r="48" spans="1:23">
      <c r="A48" s="244">
        <f ca="1">IF(DPAA保額="",IF(總檢核,'試算表(16歲-65歲)'!A29,""),IF(保費分齡表對應=2,IF(總檢核,'試算表(16歲-65歲)'!A29,""),""))</f>
        <v>41</v>
      </c>
      <c r="B48" s="244"/>
      <c r="C48" s="244"/>
      <c r="D48" s="245">
        <f ca="1">IF(DPAA保額="",IF(總檢核,IF(A47=分齡表最大顯示年齡,"***以下空白***",IF(A48&lt;=分齡表最大顯示年齡,'試算表(16歲-65歲)'!B29,"")),""),IF(保費分齡表對應=2,IF(總檢核,IF(A47=分齡表最大顯示年齡,"***以下空白***",IF(A48&lt;=分齡表最大顯示年齡,'試算表(16歲-65歲)'!B29,"")),""),""))</f>
        <v>26140</v>
      </c>
      <c r="E48" s="245"/>
      <c r="F48" s="245"/>
      <c r="G48" s="246">
        <f ca="1">IF(D48=0,"-",IF(DPAA保額="",IF(總檢核,IF($A48="","",SUM('試算表(16歲-65歲)'!C29:N29)),""),IF(保費分齡表對應=2,IF(總檢核,IF($A48="","",SUM('試算表(16歲-65歲)'!C29:N29)),""),"")))</f>
        <v>0</v>
      </c>
      <c r="H48" s="246"/>
      <c r="I48" s="246"/>
      <c r="J48" s="246">
        <f t="shared" ca="1" si="6"/>
        <v>26140</v>
      </c>
      <c r="K48" s="246"/>
      <c r="L48" s="246"/>
      <c r="M48" s="246"/>
      <c r="N48" s="245">
        <f ca="1">IF(DPAA保額="",IF(總檢核,IF(A48="","",'試算表(16歲-65歲)'!O29),""),IF(保費分齡表對應=2,IF(總檢核,IF(A48="","",'試算表(16歲-65歲)'!O29),""),""))</f>
        <v>23000</v>
      </c>
      <c r="O48" s="245"/>
      <c r="P48" s="245"/>
      <c r="Q48" s="245">
        <f ca="1">IF(N48=0,"-",IF(DPAA保額="",IF(總檢核,IF($A48="","",SUM('試算表(16歲-65歲)'!P29:AA29)),""),IF(保費分齡表對應=2,IF(總檢核,IF($A48="","",SUM('試算表(16歲-65歲)'!P29:AA29)),""),"")))</f>
        <v>0</v>
      </c>
      <c r="R48" s="245"/>
      <c r="S48" s="245"/>
      <c r="T48" s="246">
        <f t="shared" ca="1" si="7"/>
        <v>23000</v>
      </c>
      <c r="U48" s="246"/>
      <c r="V48" s="246"/>
      <c r="W48" s="246"/>
    </row>
    <row r="49" spans="1:23">
      <c r="A49" s="227">
        <f ca="1">IF(DPAA保額="",IF(總檢核,'試算表(16歲-65歲)'!A30,""),IF(保費分齡表對應=2,IF(總檢核,'試算表(16歲-65歲)'!A30,""),""))</f>
        <v>42</v>
      </c>
      <c r="B49" s="227"/>
      <c r="C49" s="227"/>
      <c r="D49" s="243">
        <f ca="1">IF(DPAA保額="",IF(總檢核,IF(A48=分齡表最大顯示年齡,"***以下空白***",IF(A49&lt;=分齡表最大顯示年齡,'試算表(16歲-65歲)'!B30,"")),""),IF(保費分齡表對應=2,IF(總檢核,IF(A48=分齡表最大顯示年齡,"***以下空白***",IF(A49&lt;=分齡表最大顯示年齡,'試算表(16歲-65歲)'!B30,"")),""),""))</f>
        <v>26950</v>
      </c>
      <c r="E49" s="243"/>
      <c r="F49" s="243"/>
      <c r="G49" s="241">
        <f ca="1">IF(D49=0,"-",IF(DPAA保額="",IF(總檢核,IF($A49="","",SUM('試算表(16歲-65歲)'!C30:N30)),""),IF(保費分齡表對應=2,IF(總檢核,IF($A49="","",SUM('試算表(16歲-65歲)'!C30:N30)),""),"")))</f>
        <v>0</v>
      </c>
      <c r="H49" s="241"/>
      <c r="I49" s="241"/>
      <c r="J49" s="241">
        <f t="shared" ca="1" si="6"/>
        <v>26950</v>
      </c>
      <c r="K49" s="241"/>
      <c r="L49" s="241"/>
      <c r="M49" s="241"/>
      <c r="N49" s="243">
        <f ca="1">IF(DPAA保額="",IF(總檢核,IF(A49="","",'試算表(16歲-65歲)'!O30),""),IF(保費分齡表對應=2,IF(總檢核,IF(A49="","",'試算表(16歲-65歲)'!O30),""),""))</f>
        <v>23470</v>
      </c>
      <c r="O49" s="243"/>
      <c r="P49" s="243"/>
      <c r="Q49" s="243">
        <f ca="1">IF(N49=0,"-",IF(DPAA保額="",IF(總檢核,IF($A49="","",SUM('試算表(16歲-65歲)'!P30:AA30)),""),IF(保費分齡表對應=2,IF(總檢核,IF($A49="","",SUM('試算表(16歲-65歲)'!P30:AA30)),""),"")))</f>
        <v>0</v>
      </c>
      <c r="R49" s="243"/>
      <c r="S49" s="243"/>
      <c r="T49" s="241">
        <f t="shared" ca="1" si="7"/>
        <v>23470</v>
      </c>
      <c r="U49" s="241"/>
      <c r="V49" s="241"/>
      <c r="W49" s="241"/>
    </row>
    <row r="50" spans="1:23">
      <c r="A50" s="227">
        <f ca="1">IF(DPAA保額="",IF(總檢核,'試算表(16歲-65歲)'!A31,""),IF(保費分齡表對應=2,IF(總檢核,'試算表(16歲-65歲)'!A31,""),""))</f>
        <v>43</v>
      </c>
      <c r="B50" s="227"/>
      <c r="C50" s="227"/>
      <c r="D50" s="243">
        <f ca="1">IF(DPAA保額="",IF(總檢核,IF(A49=分齡表最大顯示年齡,"***以下空白***",IF(A50&lt;=分齡表最大顯示年齡,'試算表(16歲-65歲)'!B31,"")),""),IF(保費分齡表對應=2,IF(總檢核,IF(A49=分齡表最大顯示年齡,"***以下空白***",IF(A50&lt;=分齡表最大顯示年齡,'試算表(16歲-65歲)'!B31,"")),""),""))</f>
        <v>27810</v>
      </c>
      <c r="E50" s="243"/>
      <c r="F50" s="243"/>
      <c r="G50" s="241">
        <f ca="1">IF(D50=0,"-",IF(DPAA保額="",IF(總檢核,IF($A50="","",SUM('試算表(16歲-65歲)'!C31:N31)),""),IF(保費分齡表對應=2,IF(總檢核,IF($A50="","",SUM('試算表(16歲-65歲)'!C31:N31)),""),"")))</f>
        <v>0</v>
      </c>
      <c r="H50" s="241"/>
      <c r="I50" s="241"/>
      <c r="J50" s="241">
        <f t="shared" ca="1" si="6"/>
        <v>27810</v>
      </c>
      <c r="K50" s="241"/>
      <c r="L50" s="241"/>
      <c r="M50" s="241"/>
      <c r="N50" s="243">
        <f ca="1">IF(DPAA保額="",IF(總檢核,IF(A50="","",'試算表(16歲-65歲)'!O31),""),IF(保費分齡表對應=2,IF(總檢核,IF(A50="","",'試算表(16歲-65歲)'!O31),""),""))</f>
        <v>24000</v>
      </c>
      <c r="O50" s="243"/>
      <c r="P50" s="243"/>
      <c r="Q50" s="243">
        <f ca="1">IF(N50=0,"-",IF(DPAA保額="",IF(總檢核,IF($A50="","",SUM('試算表(16歲-65歲)'!P31:AA31)),""),IF(保費分齡表對應=2,IF(總檢核,IF($A50="","",SUM('試算表(16歲-65歲)'!P31:AA31)),""),"")))</f>
        <v>0</v>
      </c>
      <c r="R50" s="243"/>
      <c r="S50" s="243"/>
      <c r="T50" s="241">
        <f t="shared" ca="1" si="7"/>
        <v>24000</v>
      </c>
      <c r="U50" s="241"/>
      <c r="V50" s="241"/>
      <c r="W50" s="241"/>
    </row>
    <row r="51" spans="1:23">
      <c r="A51" s="227">
        <f ca="1">IF(DPAA保額="",IF(總檢核,'試算表(16歲-65歲)'!A32,""),IF(保費分齡表對應=2,IF(總檢核,'試算表(16歲-65歲)'!A32,""),""))</f>
        <v>44</v>
      </c>
      <c r="B51" s="227"/>
      <c r="C51" s="227"/>
      <c r="D51" s="243">
        <f ca="1">IF(DPAA保額="",IF(總檢核,IF(A50=分齡表最大顯示年齡,"***以下空白***",IF(A51&lt;=分齡表最大顯示年齡,'試算表(16歲-65歲)'!B32,"")),""),IF(保費分齡表對應=2,IF(總檢核,IF(A50=分齡表最大顯示年齡,"***以下空白***",IF(A51&lt;=分齡表最大顯示年齡,'試算表(16歲-65歲)'!B32,"")),""),""))</f>
        <v>28720</v>
      </c>
      <c r="E51" s="243"/>
      <c r="F51" s="243"/>
      <c r="G51" s="241">
        <f ca="1">IF(D51=0,"-",IF(DPAA保額="",IF(總檢核,IF($A51="","",SUM('試算表(16歲-65歲)'!C32:N32)),""),IF(保費分齡表對應=2,IF(總檢核,IF($A51="","",SUM('試算表(16歲-65歲)'!C32:N32)),""),"")))</f>
        <v>0</v>
      </c>
      <c r="H51" s="241"/>
      <c r="I51" s="241"/>
      <c r="J51" s="241">
        <f t="shared" ca="1" si="6"/>
        <v>28720</v>
      </c>
      <c r="K51" s="241"/>
      <c r="L51" s="241"/>
      <c r="M51" s="241"/>
      <c r="N51" s="243">
        <f ca="1">IF(DPAA保額="",IF(總檢核,IF(A51="","",'試算表(16歲-65歲)'!O32),""),IF(保費分齡表對應=2,IF(總檢核,IF(A51="","",'試算表(16歲-65歲)'!O32),""),""))</f>
        <v>24560</v>
      </c>
      <c r="O51" s="243"/>
      <c r="P51" s="243"/>
      <c r="Q51" s="243">
        <f ca="1">IF(N51=0,"-",IF(DPAA保額="",IF(總檢核,IF($A51="","",SUM('試算表(16歲-65歲)'!P32:AA32)),""),IF(保費分齡表對應=2,IF(總檢核,IF($A51="","",SUM('試算表(16歲-65歲)'!P32:AA32)),""),"")))</f>
        <v>0</v>
      </c>
      <c r="R51" s="243"/>
      <c r="S51" s="243"/>
      <c r="T51" s="241">
        <f t="shared" ca="1" si="7"/>
        <v>24560</v>
      </c>
      <c r="U51" s="241"/>
      <c r="V51" s="241"/>
      <c r="W51" s="241"/>
    </row>
    <row r="52" spans="1:23">
      <c r="A52" s="227">
        <f ca="1">IF(DPAA保額="",IF(總檢核,'試算表(16歲-65歲)'!A33,""),IF(保費分齡表對應=2,IF(總檢核,'試算表(16歲-65歲)'!A33,""),""))</f>
        <v>45</v>
      </c>
      <c r="B52" s="227"/>
      <c r="C52" s="227"/>
      <c r="D52" s="243">
        <f ca="1">IF(DPAA保額="",IF(總檢核,IF(A51=分齡表最大顯示年齡,"***以下空白***",IF(A52&lt;=分齡表最大顯示年齡,'試算表(16歲-65歲)'!B33,"")),""),IF(保費分齡表對應=2,IF(總檢核,IF(A51=分齡表最大顯示年齡,"***以下空白***",IF(A52&lt;=分齡表最大顯示年齡,'試算表(16歲-65歲)'!B33,"")),""),""))</f>
        <v>29680</v>
      </c>
      <c r="E52" s="243"/>
      <c r="F52" s="243"/>
      <c r="G52" s="241">
        <f ca="1">IF(D52=0,"-",IF(DPAA保額="",IF(總檢核,IF($A52="","",SUM('試算表(16歲-65歲)'!C33:N33)),""),IF(保費分齡表對應=2,IF(總檢核,IF($A52="","",SUM('試算表(16歲-65歲)'!C33:N33)),""),"")))</f>
        <v>0</v>
      </c>
      <c r="H52" s="241"/>
      <c r="I52" s="241"/>
      <c r="J52" s="241">
        <f t="shared" ca="1" si="6"/>
        <v>29680</v>
      </c>
      <c r="K52" s="241"/>
      <c r="L52" s="241"/>
      <c r="M52" s="241"/>
      <c r="N52" s="243">
        <f ca="1">IF(DPAA保額="",IF(總檢核,IF(A52="","",'試算表(16歲-65歲)'!O33),""),IF(保費分齡表對應=2,IF(總檢核,IF(A52="","",'試算表(16歲-65歲)'!O33),""),""))</f>
        <v>25190</v>
      </c>
      <c r="O52" s="243"/>
      <c r="P52" s="243"/>
      <c r="Q52" s="243">
        <f ca="1">IF(N52=0,"-",IF(DPAA保額="",IF(總檢核,IF($A52="","",SUM('試算表(16歲-65歲)'!P33:AA33)),""),IF(保費分齡表對應=2,IF(總檢核,IF($A52="","",SUM('試算表(16歲-65歲)'!P33:AA33)),""),"")))</f>
        <v>0</v>
      </c>
      <c r="R52" s="243"/>
      <c r="S52" s="243"/>
      <c r="T52" s="241">
        <f t="shared" ca="1" si="7"/>
        <v>25190</v>
      </c>
      <c r="U52" s="241"/>
      <c r="V52" s="241"/>
      <c r="W52" s="241"/>
    </row>
    <row r="53" spans="1:23">
      <c r="A53" s="244">
        <f ca="1">IF(DPAA保額="",IF(總檢核,'試算表(16歲-65歲)'!A34,""),IF(保費分齡表對應=2,IF(總檢核,'試算表(16歲-65歲)'!A34,""),""))</f>
        <v>46</v>
      </c>
      <c r="B53" s="244"/>
      <c r="C53" s="244"/>
      <c r="D53" s="245">
        <f ca="1">IF(DPAA保額="",IF(總檢核,IF(A52=分齡表最大顯示年齡,"***以下空白***",IF(A53&lt;=分齡表最大顯示年齡,'試算表(16歲-65歲)'!B34,"")),""),IF(保費分齡表對應=2,IF(總檢核,IF(A52=分齡表最大顯示年齡,"***以下空白***",IF(A53&lt;=分齡表最大顯示年齡,'試算表(16歲-65歲)'!B34,"")),""),""))</f>
        <v>30680</v>
      </c>
      <c r="E53" s="245"/>
      <c r="F53" s="245"/>
      <c r="G53" s="246">
        <f ca="1">IF(D53=0,"-",IF(DPAA保額="",IF(總檢核,IF($A53="","",SUM('試算表(16歲-65歲)'!C34:N34)),""),IF(保費分齡表對應=2,IF(總檢核,IF($A53="","",SUM('試算表(16歲-65歲)'!C34:N34)),""),"")))</f>
        <v>0</v>
      </c>
      <c r="H53" s="246"/>
      <c r="I53" s="246"/>
      <c r="J53" s="246">
        <f t="shared" ca="1" si="6"/>
        <v>30680</v>
      </c>
      <c r="K53" s="246"/>
      <c r="L53" s="246"/>
      <c r="M53" s="246"/>
      <c r="N53" s="245">
        <f ca="1">IF(DPAA保額="",IF(總檢核,IF(A53="","",'試算表(16歲-65歲)'!O34),""),IF(保費分齡表對應=2,IF(總檢核,IF(A53="","",'試算表(16歲-65歲)'!O34),""),""))</f>
        <v>25850</v>
      </c>
      <c r="O53" s="245"/>
      <c r="P53" s="245"/>
      <c r="Q53" s="245">
        <f ca="1">IF(N53=0,"-",IF(DPAA保額="",IF(總檢核,IF($A53="","",SUM('試算表(16歲-65歲)'!P34:AA34)),""),IF(保費分齡表對應=2,IF(總檢核,IF($A53="","",SUM('試算表(16歲-65歲)'!P34:AA34)),""),"")))</f>
        <v>0</v>
      </c>
      <c r="R53" s="245"/>
      <c r="S53" s="245"/>
      <c r="T53" s="246">
        <f t="shared" ca="1" si="7"/>
        <v>25850</v>
      </c>
      <c r="U53" s="246"/>
      <c r="V53" s="246"/>
      <c r="W53" s="246"/>
    </row>
    <row r="54" spans="1:23">
      <c r="A54" s="227">
        <f ca="1">IF(DPAA保額="",IF(總檢核,'試算表(16歲-65歲)'!A35,""),IF(保費分齡表對應=2,IF(總檢核,'試算表(16歲-65歲)'!A35,""),""))</f>
        <v>47</v>
      </c>
      <c r="B54" s="227"/>
      <c r="C54" s="227"/>
      <c r="D54" s="243">
        <f ca="1">IF(DPAA保額="",IF(總檢核,IF(A53=分齡表最大顯示年齡,"***以下空白***",IF(A54&lt;=分齡表最大顯示年齡,'試算表(16歲-65歲)'!B35,"")),""),IF(保費分齡表對應=2,IF(總檢核,IF(A53=分齡表最大顯示年齡,"***以下空白***",IF(A54&lt;=分齡表最大顯示年齡,'試算表(16歲-65歲)'!B35,"")),""),""))</f>
        <v>31740</v>
      </c>
      <c r="E54" s="243"/>
      <c r="F54" s="243"/>
      <c r="G54" s="241">
        <f ca="1">IF(D54=0,"-",IF(DPAA保額="",IF(總檢核,IF($A54="","",SUM('試算表(16歲-65歲)'!C35:N35)),""),IF(保費分齡表對應=2,IF(總檢核,IF($A54="","",SUM('試算表(16歲-65歲)'!C35:N35)),""),"")))</f>
        <v>0</v>
      </c>
      <c r="H54" s="241"/>
      <c r="I54" s="241"/>
      <c r="J54" s="241">
        <f t="shared" ca="1" si="6"/>
        <v>31740</v>
      </c>
      <c r="K54" s="241"/>
      <c r="L54" s="241"/>
      <c r="M54" s="241"/>
      <c r="N54" s="243">
        <f ca="1">IF(DPAA保額="",IF(總檢核,IF(A54="","",'試算表(16歲-65歲)'!O35),""),IF(保費分齡表對應=2,IF(總檢核,IF(A54="","",'試算表(16歲-65歲)'!O35),""),""))</f>
        <v>26550</v>
      </c>
      <c r="O54" s="243"/>
      <c r="P54" s="243"/>
      <c r="Q54" s="243">
        <f ca="1">IF(N54=0,"-",IF(DPAA保額="",IF(總檢核,IF($A54="","",SUM('試算表(16歲-65歲)'!P35:AA35)),""),IF(保費分齡表對應=2,IF(總檢核,IF($A54="","",SUM('試算表(16歲-65歲)'!P35:AA35)),""),"")))</f>
        <v>0</v>
      </c>
      <c r="R54" s="243"/>
      <c r="S54" s="243"/>
      <c r="T54" s="241">
        <f t="shared" ca="1" si="7"/>
        <v>26550</v>
      </c>
      <c r="U54" s="241"/>
      <c r="V54" s="241"/>
      <c r="W54" s="241"/>
    </row>
    <row r="55" spans="1:23">
      <c r="A55" s="227">
        <f ca="1">IF(DPAA保額="",IF(總檢核,'試算表(16歲-65歲)'!A36,""),IF(保費分齡表對應=2,IF(總檢核,'試算表(16歲-65歲)'!A36,""),""))</f>
        <v>48</v>
      </c>
      <c r="B55" s="227"/>
      <c r="C55" s="227"/>
      <c r="D55" s="243">
        <f ca="1">IF(DPAA保額="",IF(總檢核,IF(A54=分齡表最大顯示年齡,"***以下空白***",IF(A55&lt;=分齡表最大顯示年齡,'試算表(16歲-65歲)'!B36,"")),""),IF(保費分齡表對應=2,IF(總檢核,IF(A54=分齡表最大顯示年齡,"***以下空白***",IF(A55&lt;=分齡表最大顯示年齡,'試算表(16歲-65歲)'!B36,"")),""),""))</f>
        <v>32820</v>
      </c>
      <c r="E55" s="243"/>
      <c r="F55" s="243"/>
      <c r="G55" s="241">
        <f ca="1">IF(D55=0,"-",IF(DPAA保額="",IF(總檢核,IF($A55="","",SUM('試算表(16歲-65歲)'!C36:N36)),""),IF(保費分齡表對應=2,IF(總檢核,IF($A55="","",SUM('試算表(16歲-65歲)'!C36:N36)),""),"")))</f>
        <v>0</v>
      </c>
      <c r="H55" s="241"/>
      <c r="I55" s="241"/>
      <c r="J55" s="241">
        <f t="shared" ca="1" si="6"/>
        <v>32820</v>
      </c>
      <c r="K55" s="241"/>
      <c r="L55" s="241"/>
      <c r="M55" s="241"/>
      <c r="N55" s="243">
        <f ca="1">IF(DPAA保額="",IF(總檢核,IF(A55="","",'試算表(16歲-65歲)'!O36),""),IF(保費分齡表對應=2,IF(總檢核,IF(A55="","",'試算表(16歲-65歲)'!O36),""),""))</f>
        <v>27270</v>
      </c>
      <c r="O55" s="243"/>
      <c r="P55" s="243"/>
      <c r="Q55" s="243">
        <f ca="1">IF(N55=0,"-",IF(DPAA保額="",IF(總檢核,IF($A55="","",SUM('試算表(16歲-65歲)'!P36:AA36)),""),IF(保費分齡表對應=2,IF(總檢核,IF($A55="","",SUM('試算表(16歲-65歲)'!P36:AA36)),""),"")))</f>
        <v>0</v>
      </c>
      <c r="R55" s="243"/>
      <c r="S55" s="243"/>
      <c r="T55" s="241">
        <f t="shared" ca="1" si="7"/>
        <v>27270</v>
      </c>
      <c r="U55" s="241"/>
      <c r="V55" s="241"/>
      <c r="W55" s="241"/>
    </row>
    <row r="56" spans="1:23">
      <c r="A56" s="227">
        <f ca="1">IF(DPAA保額="",IF(總檢核,'試算表(16歲-65歲)'!A37,""),IF(保費分齡表對應=2,IF(總檢核,'試算表(16歲-65歲)'!A37,""),""))</f>
        <v>49</v>
      </c>
      <c r="B56" s="227"/>
      <c r="C56" s="227"/>
      <c r="D56" s="243">
        <f ca="1">IF(DPAA保額="",IF(總檢核,IF(A55=分齡表最大顯示年齡,"***以下空白***",IF(A56&lt;=分齡表最大顯示年齡,'試算表(16歲-65歲)'!B37,"")),""),IF(保費分齡表對應=2,IF(總檢核,IF(A55=分齡表最大顯示年齡,"***以下空白***",IF(A56&lt;=分齡表最大顯示年齡,'試算表(16歲-65歲)'!B37,"")),""),""))</f>
        <v>33930</v>
      </c>
      <c r="E56" s="243"/>
      <c r="F56" s="243"/>
      <c r="G56" s="241">
        <f ca="1">IF(D56=0,"-",IF(DPAA保額="",IF(總檢核,IF($A56="","",SUM('試算表(16歲-65歲)'!C37:N37)),""),IF(保費分齡表對應=2,IF(總檢核,IF($A56="","",SUM('試算表(16歲-65歲)'!C37:N37)),""),"")))</f>
        <v>0</v>
      </c>
      <c r="H56" s="241"/>
      <c r="I56" s="241"/>
      <c r="J56" s="241">
        <f t="shared" ca="1" si="6"/>
        <v>33930</v>
      </c>
      <c r="K56" s="241"/>
      <c r="L56" s="241"/>
      <c r="M56" s="241"/>
      <c r="N56" s="243">
        <f ca="1">IF(DPAA保額="",IF(總檢核,IF(A56="","",'試算表(16歲-65歲)'!O37),""),IF(保費分齡表對應=2,IF(總檢核,IF(A56="","",'試算表(16歲-65歲)'!O37),""),""))</f>
        <v>28040</v>
      </c>
      <c r="O56" s="243"/>
      <c r="P56" s="243"/>
      <c r="Q56" s="243">
        <f ca="1">IF(N56=0,"-",IF(DPAA保額="",IF(總檢核,IF($A56="","",SUM('試算表(16歲-65歲)'!P37:AA37)),""),IF(保費分齡表對應=2,IF(總檢核,IF($A56="","",SUM('試算表(16歲-65歲)'!P37:AA37)),""),"")))</f>
        <v>0</v>
      </c>
      <c r="R56" s="243"/>
      <c r="S56" s="243"/>
      <c r="T56" s="241">
        <f t="shared" ca="1" si="7"/>
        <v>28040</v>
      </c>
      <c r="U56" s="241"/>
      <c r="V56" s="241"/>
      <c r="W56" s="241"/>
    </row>
    <row r="57" spans="1:23">
      <c r="A57" s="227">
        <f ca="1">IF(DPAA保額="",IF(總檢核,'試算表(16歲-65歲)'!A38,""),IF(保費分齡表對應=2,IF(總檢核,'試算表(16歲-65歲)'!A38,""),""))</f>
        <v>50</v>
      </c>
      <c r="B57" s="227"/>
      <c r="C57" s="227"/>
      <c r="D57" s="243">
        <f ca="1">IF(DPAA保額="",IF(總檢核,IF(A56=分齡表最大顯示年齡,"***以下空白***",IF(A57&lt;=分齡表最大顯示年齡,'試算表(16歲-65歲)'!B38,"")),""),IF(保費分齡表對應=2,IF(總檢核,IF(A56=分齡表最大顯示年齡,"***以下空白***",IF(A57&lt;=分齡表最大顯示年齡,'試算表(16歲-65歲)'!B38,"")),""),""))</f>
        <v>35070</v>
      </c>
      <c r="E57" s="243"/>
      <c r="F57" s="243"/>
      <c r="G57" s="241">
        <f ca="1">IF(D57=0,"-",IF(DPAA保額="",IF(總檢核,IF($A57="","",SUM('試算表(16歲-65歲)'!C38:N38)),""),IF(保費分齡表對應=2,IF(總檢核,IF($A57="","",SUM('試算表(16歲-65歲)'!C38:N38)),""),"")))</f>
        <v>0</v>
      </c>
      <c r="H57" s="241"/>
      <c r="I57" s="241"/>
      <c r="J57" s="241">
        <f t="shared" ca="1" si="6"/>
        <v>35070</v>
      </c>
      <c r="K57" s="241"/>
      <c r="L57" s="241"/>
      <c r="M57" s="241"/>
      <c r="N57" s="243">
        <f ca="1">IF(DPAA保額="",IF(總檢核,IF(A57="","",'試算表(16歲-65歲)'!O38),""),IF(保費分齡表對應=2,IF(總檢核,IF(A57="","",'試算表(16歲-65歲)'!O38),""),""))</f>
        <v>28830</v>
      </c>
      <c r="O57" s="243"/>
      <c r="P57" s="243"/>
      <c r="Q57" s="243">
        <f ca="1">IF(N57=0,"-",IF(DPAA保額="",IF(總檢核,IF($A57="","",SUM('試算表(16歲-65歲)'!P38:AA38)),""),IF(保費分齡表對應=2,IF(總檢核,IF($A57="","",SUM('試算表(16歲-65歲)'!P38:AA38)),""),"")))</f>
        <v>0</v>
      </c>
      <c r="R57" s="243"/>
      <c r="S57" s="243"/>
      <c r="T57" s="241">
        <f t="shared" ca="1" si="7"/>
        <v>28830</v>
      </c>
      <c r="U57" s="241"/>
      <c r="V57" s="241"/>
      <c r="W57" s="241"/>
    </row>
    <row r="58" spans="1:23">
      <c r="A58" s="244">
        <f ca="1">IF(DPAA保額="",IF(總檢核,'試算表(16歲-65歲)'!A39,""),IF(保費分齡表對應=2,IF(總檢核,'試算表(16歲-65歲)'!A39,""),""))</f>
        <v>51</v>
      </c>
      <c r="B58" s="244"/>
      <c r="C58" s="244"/>
      <c r="D58" s="245">
        <f ca="1">IF(DPAA保額="",IF(總檢核,IF(A57=分齡表最大顯示年齡,"***以下空白***",IF(A58&lt;=分齡表最大顯示年齡,'試算表(16歲-65歲)'!B39,"")),""),IF(保費分齡表對應=2,IF(總檢核,IF(A57=分齡表最大顯示年齡,"***以下空白***",IF(A58&lt;=分齡表最大顯示年齡,'試算表(16歲-65歲)'!B39,"")),""),""))</f>
        <v>36320</v>
      </c>
      <c r="E58" s="245"/>
      <c r="F58" s="245"/>
      <c r="G58" s="246">
        <f ca="1">IF(D58=0,"-",IF(DPAA保額="",IF(總檢核,IF($A58="","",SUM('試算表(16歲-65歲)'!C39:N39)),""),IF(保費分齡表對應=2,IF(總檢核,IF($A58="","",SUM('試算表(16歲-65歲)'!C39:N39)),""),"")))</f>
        <v>0</v>
      </c>
      <c r="H58" s="246"/>
      <c r="I58" s="246"/>
      <c r="J58" s="246">
        <f t="shared" ca="1" si="6"/>
        <v>36320</v>
      </c>
      <c r="K58" s="246"/>
      <c r="L58" s="246"/>
      <c r="M58" s="246"/>
      <c r="N58" s="245">
        <f ca="1">IF(DPAA保額="",IF(總檢核,IF(A58="","",'試算表(16歲-65歲)'!O39),""),IF(保費分齡表對應=2,IF(總檢核,IF(A58="","",'試算表(16歲-65歲)'!O39),""),""))</f>
        <v>29700</v>
      </c>
      <c r="O58" s="245"/>
      <c r="P58" s="245"/>
      <c r="Q58" s="245">
        <f ca="1">IF(N58=0,"-",IF(DPAA保額="",IF(總檢核,IF($A58="","",SUM('試算表(16歲-65歲)'!P39:AA39)),""),IF(保費分齡表對應=2,IF(總檢核,IF($A58="","",SUM('試算表(16歲-65歲)'!P39:AA39)),""),"")))</f>
        <v>0</v>
      </c>
      <c r="R58" s="245"/>
      <c r="S58" s="245"/>
      <c r="T58" s="246">
        <f t="shared" ca="1" si="7"/>
        <v>29700</v>
      </c>
      <c r="U58" s="246"/>
      <c r="V58" s="246"/>
      <c r="W58" s="246"/>
    </row>
    <row r="59" spans="1:23">
      <c r="A59" s="227">
        <f ca="1">IF(DPAA保額="",IF(總檢核,'試算表(16歲-65歲)'!A40,""),IF(保費分齡表對應=2,IF(總檢核,'試算表(16歲-65歲)'!A40,""),""))</f>
        <v>52</v>
      </c>
      <c r="B59" s="227"/>
      <c r="C59" s="227"/>
      <c r="D59" s="243">
        <f ca="1">IF(DPAA保額="",IF(總檢核,IF(A58=分齡表最大顯示年齡,"***以下空白***",IF(A59&lt;=分齡表最大顯示年齡,'試算表(16歲-65歲)'!B40,"")),""),IF(保費分齡表對應=2,IF(總檢核,IF(A58=分齡表最大顯示年齡,"***以下空白***",IF(A59&lt;=分齡表最大顯示年齡,'試算表(16歲-65歲)'!B40,"")),""),""))</f>
        <v>37690</v>
      </c>
      <c r="E59" s="243"/>
      <c r="F59" s="243"/>
      <c r="G59" s="241">
        <f ca="1">IF(D59=0,"-",IF(DPAA保額="",IF(總檢核,IF($A59="","",SUM('試算表(16歲-65歲)'!C40:N40)),""),IF(保費分齡表對應=2,IF(總檢核,IF($A59="","",SUM('試算表(16歲-65歲)'!C40:N40)),""),"")))</f>
        <v>0</v>
      </c>
      <c r="H59" s="241"/>
      <c r="I59" s="241"/>
      <c r="J59" s="241">
        <f t="shared" ca="1" si="6"/>
        <v>37690</v>
      </c>
      <c r="K59" s="241"/>
      <c r="L59" s="241"/>
      <c r="M59" s="241"/>
      <c r="N59" s="243">
        <f ca="1">IF(DPAA保額="",IF(總檢核,IF(A59="","",'試算表(16歲-65歲)'!O40),""),IF(保費分齡表對應=2,IF(總檢核,IF(A59="","",'試算表(16歲-65歲)'!O40),""),""))</f>
        <v>30660</v>
      </c>
      <c r="O59" s="243"/>
      <c r="P59" s="243"/>
      <c r="Q59" s="243">
        <f ca="1">IF(N59=0,"-",IF(DPAA保額="",IF(總檢核,IF($A59="","",SUM('試算表(16歲-65歲)'!P40:AA40)),""),IF(保費分齡表對應=2,IF(總檢核,IF($A59="","",SUM('試算表(16歲-65歲)'!P40:AA40)),""),"")))</f>
        <v>0</v>
      </c>
      <c r="R59" s="243"/>
      <c r="S59" s="243"/>
      <c r="T59" s="241">
        <f t="shared" ca="1" si="7"/>
        <v>30660</v>
      </c>
      <c r="U59" s="241"/>
      <c r="V59" s="241"/>
      <c r="W59" s="241"/>
    </row>
    <row r="60" spans="1:23">
      <c r="A60" s="227">
        <f ca="1">IF(DPAA保額="",IF(總檢核,'試算表(16歲-65歲)'!A41,""),IF(保費分齡表對應=2,IF(總檢核,'試算表(16歲-65歲)'!A41,""),""))</f>
        <v>53</v>
      </c>
      <c r="B60" s="227"/>
      <c r="C60" s="227"/>
      <c r="D60" s="243">
        <f ca="1">IF(DPAA保額="",IF(總檢核,IF(A59=分齡表最大顯示年齡,"***以下空白***",IF(A60&lt;=分齡表最大顯示年齡,'試算表(16歲-65歲)'!B41,"")),""),IF(保費分齡表對應=2,IF(總檢核,IF(A59=分齡表最大顯示年齡,"***以下空白***",IF(A60&lt;=分齡表最大顯示年齡,'試算表(16歲-65歲)'!B41,"")),""),""))</f>
        <v>39190</v>
      </c>
      <c r="E60" s="243"/>
      <c r="F60" s="243"/>
      <c r="G60" s="241">
        <f ca="1">IF(D60=0,"-",IF(DPAA保額="",IF(總檢核,IF($A60="","",SUM('試算表(16歲-65歲)'!C41:N41)),""),IF(保費分齡表對應=2,IF(總檢核,IF($A60="","",SUM('試算表(16歲-65歲)'!C41:N41)),""),"")))</f>
        <v>0</v>
      </c>
      <c r="H60" s="241"/>
      <c r="I60" s="241"/>
      <c r="J60" s="241">
        <f t="shared" ca="1" si="6"/>
        <v>39190</v>
      </c>
      <c r="K60" s="241"/>
      <c r="L60" s="241"/>
      <c r="M60" s="241"/>
      <c r="N60" s="243">
        <f ca="1">IF(DPAA保額="",IF(總檢核,IF(A60="","",'試算表(16歲-65歲)'!O41),""),IF(保費分齡表對應=2,IF(總檢核,IF(A60="","",'試算表(16歲-65歲)'!O41),""),""))</f>
        <v>31710</v>
      </c>
      <c r="O60" s="243"/>
      <c r="P60" s="243"/>
      <c r="Q60" s="243">
        <f ca="1">IF(N60=0,"-",IF(DPAA保額="",IF(總檢核,IF($A60="","",SUM('試算表(16歲-65歲)'!P41:AA41)),""),IF(保費分齡表對應=2,IF(總檢核,IF($A60="","",SUM('試算表(16歲-65歲)'!P41:AA41)),""),"")))</f>
        <v>0</v>
      </c>
      <c r="R60" s="243"/>
      <c r="S60" s="243"/>
      <c r="T60" s="241">
        <f t="shared" ca="1" si="7"/>
        <v>31710</v>
      </c>
      <c r="U60" s="241"/>
      <c r="V60" s="241"/>
      <c r="W60" s="241"/>
    </row>
    <row r="61" spans="1:23">
      <c r="A61" s="227">
        <f ca="1">IF(DPAA保額="",IF(總檢核,'試算表(16歲-65歲)'!A42,""),IF(保費分齡表對應=2,IF(總檢核,'試算表(16歲-65歲)'!A42,""),""))</f>
        <v>54</v>
      </c>
      <c r="B61" s="227"/>
      <c r="C61" s="227"/>
      <c r="D61" s="243">
        <f ca="1">IF(DPAA保額="",IF(總檢核,IF(A60=分齡表最大顯示年齡,"***以下空白***",IF(A61&lt;=分齡表最大顯示年齡,'試算表(16歲-65歲)'!B42,"")),""),IF(保費分齡表對應=2,IF(總檢核,IF(A60=分齡表最大顯示年齡,"***以下空白***",IF(A61&lt;=分齡表最大顯示年齡,'試算表(16歲-65歲)'!B42,"")),""),""))</f>
        <v>40830</v>
      </c>
      <c r="E61" s="243"/>
      <c r="F61" s="243"/>
      <c r="G61" s="241">
        <f ca="1">IF(D61=0,"-",IF(DPAA保額="",IF(總檢核,IF($A61="","",SUM('試算表(16歲-65歲)'!C42:N42)),""),IF(保費分齡表對應=2,IF(總檢核,IF($A61="","",SUM('試算表(16歲-65歲)'!C42:N42)),""),"")))</f>
        <v>0</v>
      </c>
      <c r="H61" s="241"/>
      <c r="I61" s="241"/>
      <c r="J61" s="241">
        <f t="shared" ca="1" si="6"/>
        <v>40830</v>
      </c>
      <c r="K61" s="241"/>
      <c r="L61" s="241"/>
      <c r="M61" s="241"/>
      <c r="N61" s="243">
        <f ca="1">IF(DPAA保額="",IF(總檢核,IF(A61="","",'試算表(16歲-65歲)'!O42),""),IF(保費分齡表對應=2,IF(總檢核,IF(A61="","",'試算表(16歲-65歲)'!O42),""),""))</f>
        <v>32860</v>
      </c>
      <c r="O61" s="243"/>
      <c r="P61" s="243"/>
      <c r="Q61" s="243">
        <f ca="1">IF(N61=0,"-",IF(DPAA保額="",IF(總檢核,IF($A61="","",SUM('試算表(16歲-65歲)'!P42:AA42)),""),IF(保費分齡表對應=2,IF(總檢核,IF($A61="","",SUM('試算表(16歲-65歲)'!P42:AA42)),""),"")))</f>
        <v>0</v>
      </c>
      <c r="R61" s="243"/>
      <c r="S61" s="243"/>
      <c r="T61" s="241">
        <f t="shared" ca="1" si="7"/>
        <v>32860</v>
      </c>
      <c r="U61" s="241"/>
      <c r="V61" s="241"/>
      <c r="W61" s="241"/>
    </row>
    <row r="62" spans="1:23">
      <c r="A62" s="227">
        <f ca="1">IF(DPAA保額="",IF(總檢核,'試算表(16歲-65歲)'!A43,""),IF(保費分齡表對應=2,IF(總檢核,'試算表(16歲-65歲)'!A43,""),""))</f>
        <v>55</v>
      </c>
      <c r="B62" s="227"/>
      <c r="C62" s="227"/>
      <c r="D62" s="243">
        <f ca="1">IF(DPAA保額="",IF(總檢核,IF(A61=分齡表最大顯示年齡,"***以下空白***",IF(A62&lt;=分齡表最大顯示年齡,'試算表(16歲-65歲)'!B43,"")),""),IF(保費分齡表對應=2,IF(總檢核,IF(A61=分齡表最大顯示年齡,"***以下空白***",IF(A62&lt;=分齡表最大顯示年齡,'試算表(16歲-65歲)'!B43,"")),""),""))</f>
        <v>42620</v>
      </c>
      <c r="E62" s="243"/>
      <c r="F62" s="243"/>
      <c r="G62" s="241">
        <f ca="1">IF(D62=0,"-",IF(DPAA保額="",IF(總檢核,IF($A62="","",SUM('試算表(16歲-65歲)'!C43:N43)),""),IF(保費分齡表對應=2,IF(總檢核,IF($A62="","",SUM('試算表(16歲-65歲)'!C43:N43)),""),"")))</f>
        <v>0</v>
      </c>
      <c r="H62" s="241"/>
      <c r="I62" s="241"/>
      <c r="J62" s="241">
        <f t="shared" ca="1" si="6"/>
        <v>42620</v>
      </c>
      <c r="K62" s="241"/>
      <c r="L62" s="241"/>
      <c r="M62" s="241"/>
      <c r="N62" s="243">
        <f ca="1">IF(DPAA保額="",IF(總檢核,IF(A62="","",'試算表(16歲-65歲)'!O43),""),IF(保費分齡表對應=2,IF(總檢核,IF(A62="","",'試算表(16歲-65歲)'!O43),""),""))</f>
        <v>34120</v>
      </c>
      <c r="O62" s="243"/>
      <c r="P62" s="243"/>
      <c r="Q62" s="243">
        <f ca="1">IF(N62=0,"-",IF(DPAA保額="",IF(總檢核,IF($A62="","",SUM('試算表(16歲-65歲)'!P43:AA43)),""),IF(保費分齡表對應=2,IF(總檢核,IF($A62="","",SUM('試算表(16歲-65歲)'!P43:AA43)),""),"")))</f>
        <v>0</v>
      </c>
      <c r="R62" s="243"/>
      <c r="S62" s="243"/>
      <c r="T62" s="241">
        <f t="shared" ca="1" si="7"/>
        <v>34120</v>
      </c>
      <c r="U62" s="241"/>
      <c r="V62" s="241"/>
      <c r="W62" s="241"/>
    </row>
    <row r="63" spans="1:23">
      <c r="A63" s="244">
        <f ca="1">IF(DPAA保額="",IF(總檢核,'試算表(16歲-65歲)'!A44,""),IF(保費分齡表對應=2,IF(總檢核,'試算表(16歲-65歲)'!A44,""),""))</f>
        <v>56</v>
      </c>
      <c r="B63" s="244"/>
      <c r="C63" s="244"/>
      <c r="D63" s="245">
        <f ca="1">IF(DPAA保額="",IF(總檢核,IF(A62=分齡表最大顯示年齡,"***以下空白***",IF(A63&lt;=分齡表最大顯示年齡,'試算表(16歲-65歲)'!B44,"")),""),IF(保費分齡表對應=2,IF(總檢核,IF(A62=分齡表最大顯示年齡,"***以下空白***",IF(A63&lt;=分齡表最大顯示年齡,'試算表(16歲-65歲)'!B44,"")),""),""))</f>
        <v>44570</v>
      </c>
      <c r="E63" s="245"/>
      <c r="F63" s="245"/>
      <c r="G63" s="246">
        <f ca="1">IF(D63=0,"-",IF(DPAA保額="",IF(總檢核,IF($A63="","",SUM('試算表(16歲-65歲)'!C44:N44)),""),IF(保費分齡表對應=2,IF(總檢核,IF($A63="","",SUM('試算表(16歲-65歲)'!C44:N44)),""),"")))</f>
        <v>0</v>
      </c>
      <c r="H63" s="246"/>
      <c r="I63" s="246"/>
      <c r="J63" s="246">
        <f t="shared" ca="1" si="6"/>
        <v>44570</v>
      </c>
      <c r="K63" s="246"/>
      <c r="L63" s="246"/>
      <c r="M63" s="246"/>
      <c r="N63" s="245">
        <f ca="1">IF(DPAA保額="",IF(總檢核,IF(A63="","",'試算表(16歲-65歲)'!O44),""),IF(保費分齡表對應=2,IF(總檢核,IF(A63="","",'試算表(16歲-65歲)'!O44),""),""))</f>
        <v>35500</v>
      </c>
      <c r="O63" s="245"/>
      <c r="P63" s="245"/>
      <c r="Q63" s="245">
        <f ca="1">IF(N63=0,"-",IF(DPAA保額="",IF(總檢核,IF($A63="","",SUM('試算表(16歲-65歲)'!P44:AA44)),""),IF(保費分齡表對應=2,IF(總檢核,IF($A63="","",SUM('試算表(16歲-65歲)'!P44:AA44)),""),"")))</f>
        <v>0</v>
      </c>
      <c r="R63" s="245"/>
      <c r="S63" s="245"/>
      <c r="T63" s="246">
        <f t="shared" ca="1" si="7"/>
        <v>35500</v>
      </c>
      <c r="U63" s="246"/>
      <c r="V63" s="246"/>
      <c r="W63" s="246"/>
    </row>
    <row r="64" spans="1:23">
      <c r="A64" s="227">
        <f ca="1">IF(DPAA保額="",IF(總檢核,'試算表(16歲-65歲)'!A45,""),IF(保費分齡表對應=2,IF(總檢核,'試算表(16歲-65歲)'!A45,""),""))</f>
        <v>57</v>
      </c>
      <c r="B64" s="227"/>
      <c r="C64" s="227"/>
      <c r="D64" s="243">
        <f ca="1">IF(DPAA保額="",IF(總檢核,IF(A63=分齡表最大顯示年齡,"***以下空白***",IF(A64&lt;=分齡表最大顯示年齡,'試算表(16歲-65歲)'!B45,"")),""),IF(保費分齡表對應=2,IF(總檢核,IF(A63=分齡表最大顯示年齡,"***以下空白***",IF(A64&lt;=分齡表最大顯示年齡,'試算表(16歲-65歲)'!B45,"")),""),""))</f>
        <v>46700</v>
      </c>
      <c r="E64" s="243"/>
      <c r="F64" s="243"/>
      <c r="G64" s="241">
        <f ca="1">IF(D64=0,"-",IF(DPAA保額="",IF(總檢核,IF($A64="","",SUM('試算表(16歲-65歲)'!C45:N45)),""),IF(保費分齡表對應=2,IF(總檢核,IF($A64="","",SUM('試算表(16歲-65歲)'!C45:N45)),""),"")))</f>
        <v>0</v>
      </c>
      <c r="H64" s="241"/>
      <c r="I64" s="241"/>
      <c r="J64" s="241">
        <f t="shared" ca="1" si="6"/>
        <v>46700</v>
      </c>
      <c r="K64" s="241"/>
      <c r="L64" s="241"/>
      <c r="M64" s="241"/>
      <c r="N64" s="243">
        <f ca="1">IF(DPAA保額="",IF(總檢核,IF(A64="","",'試算表(16歲-65歲)'!O45),""),IF(保費分齡表對應=2,IF(總檢核,IF(A64="","",'試算表(16歲-65歲)'!O45),""),""))</f>
        <v>37010</v>
      </c>
      <c r="O64" s="243"/>
      <c r="P64" s="243"/>
      <c r="Q64" s="243">
        <f ca="1">IF(N64=0,"-",IF(DPAA保額="",IF(總檢核,IF($A64="","",SUM('試算表(16歲-65歲)'!P45:AA45)),""),IF(保費分齡表對應=2,IF(總檢核,IF($A64="","",SUM('試算表(16歲-65歲)'!P45:AA45)),""),"")))</f>
        <v>0</v>
      </c>
      <c r="R64" s="243"/>
      <c r="S64" s="243"/>
      <c r="T64" s="241">
        <f t="shared" ca="1" si="7"/>
        <v>37010</v>
      </c>
      <c r="U64" s="241"/>
      <c r="V64" s="241"/>
      <c r="W64" s="241"/>
    </row>
    <row r="65" spans="1:23">
      <c r="A65" s="227">
        <f ca="1">IF(DPAA保額="",IF(總檢核,'試算表(16歲-65歲)'!A46,""),IF(保費分齡表對應=2,IF(總檢核,'試算表(16歲-65歲)'!A46,""),""))</f>
        <v>58</v>
      </c>
      <c r="B65" s="227"/>
      <c r="C65" s="227"/>
      <c r="D65" s="243">
        <f ca="1">IF(DPAA保額="",IF(總檢核,IF(A64=分齡表最大顯示年齡,"***以下空白***",IF(A65&lt;=分齡表最大顯示年齡,'試算表(16歲-65歲)'!B46,"")),""),IF(保費分齡表對應=2,IF(總檢核,IF(A64=分齡表最大顯示年齡,"***以下空白***",IF(A65&lt;=分齡表最大顯示年齡,'試算表(16歲-65歲)'!B46,"")),""),""))</f>
        <v>49030</v>
      </c>
      <c r="E65" s="243"/>
      <c r="F65" s="243"/>
      <c r="G65" s="241">
        <f ca="1">IF(D65=0,"-",IF(DPAA保額="",IF(總檢核,IF($A65="","",SUM('試算表(16歲-65歲)'!C46:N46)),""),IF(保費分齡表對應=2,IF(總檢核,IF($A65="","",SUM('試算表(16歲-65歲)'!C46:N46)),""),"")))</f>
        <v>0</v>
      </c>
      <c r="H65" s="241"/>
      <c r="I65" s="241"/>
      <c r="J65" s="241">
        <f t="shared" ca="1" si="6"/>
        <v>49030</v>
      </c>
      <c r="K65" s="241"/>
      <c r="L65" s="241"/>
      <c r="M65" s="241"/>
      <c r="N65" s="243">
        <f ca="1">IF(DPAA保額="",IF(總檢核,IF(A65="","",'試算表(16歲-65歲)'!O46),""),IF(保費分齡表對應=2,IF(總檢核,IF(A65="","",'試算表(16歲-65歲)'!O46),""),""))</f>
        <v>38660</v>
      </c>
      <c r="O65" s="243"/>
      <c r="P65" s="243"/>
      <c r="Q65" s="243">
        <f ca="1">IF(N65=0,"-",IF(DPAA保額="",IF(總檢核,IF($A65="","",SUM('試算表(16歲-65歲)'!P46:AA46)),""),IF(保費分齡表對應=2,IF(總檢核,IF($A65="","",SUM('試算表(16歲-65歲)'!P46:AA46)),""),"")))</f>
        <v>0</v>
      </c>
      <c r="R65" s="243"/>
      <c r="S65" s="243"/>
      <c r="T65" s="241">
        <f t="shared" ca="1" si="7"/>
        <v>38660</v>
      </c>
      <c r="U65" s="241"/>
      <c r="V65" s="241"/>
      <c r="W65" s="241"/>
    </row>
    <row r="66" spans="1:23">
      <c r="A66" s="227">
        <f ca="1">IF(DPAA保額="",IF(總檢核,'試算表(16歲-65歲)'!A47,""),IF(保費分齡表對應=2,IF(總檢核,'試算表(16歲-65歲)'!A47,""),""))</f>
        <v>59</v>
      </c>
      <c r="B66" s="227"/>
      <c r="C66" s="227"/>
      <c r="D66" s="243">
        <f ca="1">IF(DPAA保額="",IF(總檢核,IF(A65=分齡表最大顯示年齡,"***以下空白***",IF(A66&lt;=分齡表最大顯示年齡,'試算表(16歲-65歲)'!B47,"")),""),IF(保費分齡表對應=2,IF(總檢核,IF(A65=分齡表最大顯示年齡,"***以下空白***",IF(A66&lt;=分齡表最大顯示年齡,'試算表(16歲-65歲)'!B47,"")),""),""))</f>
        <v>51570</v>
      </c>
      <c r="E66" s="243"/>
      <c r="F66" s="243"/>
      <c r="G66" s="241">
        <f ca="1">IF(D66=0,"-",IF(DPAA保額="",IF(總檢核,IF($A66="","",SUM('試算表(16歲-65歲)'!C47:N47)),""),IF(保費分齡表對應=2,IF(總檢核,IF($A66="","",SUM('試算表(16歲-65歲)'!C47:N47)),""),"")))</f>
        <v>0</v>
      </c>
      <c r="H66" s="241"/>
      <c r="I66" s="241"/>
      <c r="J66" s="241">
        <f t="shared" ca="1" si="6"/>
        <v>51570</v>
      </c>
      <c r="K66" s="241"/>
      <c r="L66" s="241"/>
      <c r="M66" s="241"/>
      <c r="N66" s="243">
        <f ca="1">IF(DPAA保額="",IF(總檢核,IF(A66="","",'試算表(16歲-65歲)'!O47),""),IF(保費分齡表對應=2,IF(總檢核,IF(A66="","",'試算表(16歲-65歲)'!O47),""),""))</f>
        <v>40670</v>
      </c>
      <c r="O66" s="243"/>
      <c r="P66" s="243"/>
      <c r="Q66" s="243">
        <f ca="1">IF(N66=0,"-",IF(DPAA保額="",IF(總檢核,IF($A66="","",SUM('試算表(16歲-65歲)'!P47:AA47)),""),IF(保費分齡表對應=2,IF(總檢核,IF($A66="","",SUM('試算表(16歲-65歲)'!P47:AA47)),""),"")))</f>
        <v>0</v>
      </c>
      <c r="R66" s="243"/>
      <c r="S66" s="243"/>
      <c r="T66" s="241">
        <f t="shared" ca="1" si="7"/>
        <v>40670</v>
      </c>
      <c r="U66" s="241"/>
      <c r="V66" s="241"/>
      <c r="W66" s="241"/>
    </row>
    <row r="67" spans="1:23">
      <c r="A67" s="227">
        <f ca="1">IF(DPAA保額="",IF(總檢核,'試算表(16歲-65歲)'!A48,""),IF(保費分齡表對應=2,IF(總檢核,'試算表(16歲-65歲)'!A48,""),""))</f>
        <v>60</v>
      </c>
      <c r="B67" s="227"/>
      <c r="C67" s="227"/>
      <c r="D67" s="243">
        <f ca="1">IF(DPAA保額="",IF(總檢核,IF(A66=分齡表最大顯示年齡,"***以下空白***",IF(A67&lt;=分齡表最大顯示年齡,'試算表(16歲-65歲)'!B48,"")),""),IF(保費分齡表對應=2,IF(總檢核,IF(A66=分齡表最大顯示年齡,"***以下空白***",IF(A67&lt;=分齡表最大顯示年齡,'試算表(16歲-65歲)'!B48,"")),""),""))</f>
        <v>55000</v>
      </c>
      <c r="E67" s="243"/>
      <c r="F67" s="243"/>
      <c r="G67" s="241">
        <f ca="1">IF(D67=0,"-",IF(DPAA保額="",IF(總檢核,IF($A67="","",SUM('試算表(16歲-65歲)'!C48:N48)),""),IF(保費分齡表對應=2,IF(總檢核,IF($A67="","",SUM('試算表(16歲-65歲)'!C48:N48)),""),"")))</f>
        <v>0</v>
      </c>
      <c r="H67" s="241"/>
      <c r="I67" s="241"/>
      <c r="J67" s="241">
        <f t="shared" ca="1" si="6"/>
        <v>55000</v>
      </c>
      <c r="K67" s="241"/>
      <c r="L67" s="241"/>
      <c r="M67" s="241"/>
      <c r="N67" s="243">
        <f ca="1">IF(DPAA保額="",IF(總檢核,IF(A67="","",'試算表(16歲-65歲)'!O48),""),IF(保費分齡表對應=2,IF(總檢核,IF(A67="","",'試算表(16歲-65歲)'!O48),""),""))</f>
        <v>43000</v>
      </c>
      <c r="O67" s="243"/>
      <c r="P67" s="243"/>
      <c r="Q67" s="243">
        <f ca="1">IF(N67=0,"-",IF(DPAA保額="",IF(總檢核,IF($A67="","",SUM('試算表(16歲-65歲)'!P48:AA48)),""),IF(保費分齡表對應=2,IF(總檢核,IF($A67="","",SUM('試算表(16歲-65歲)'!P48:AA48)),""),"")))</f>
        <v>0</v>
      </c>
      <c r="R67" s="243"/>
      <c r="S67" s="243"/>
      <c r="T67" s="241">
        <f t="shared" ca="1" si="7"/>
        <v>43000</v>
      </c>
      <c r="U67" s="241"/>
      <c r="V67" s="241"/>
      <c r="W67" s="241"/>
    </row>
    <row r="68" spans="1:23">
      <c r="A68" s="244" t="str">
        <f ca="1">IF(DPAA保額="",IF(總檢核,'試算表(16歲-65歲)'!A49,""),IF(保費分齡表對應=2,IF(總檢核,'試算表(16歲-65歲)'!A49,""),""))</f>
        <v/>
      </c>
      <c r="B68" s="244"/>
      <c r="C68" s="244"/>
      <c r="D68" s="245" t="str">
        <f ca="1">IF(DPAA保額="",IF(總檢核,IF(A67=分齡表最大顯示年齡,"***以下空白***",IF(A68&lt;=分齡表最大顯示年齡,'試算表(16歲-65歲)'!B49,"")),""),IF(保費分齡表對應=2,IF(總檢核,IF(A67=分齡表最大顯示年齡,"***以下空白***",IF(A68&lt;=分齡表最大顯示年齡,'試算表(16歲-65歲)'!B49,"")),""),""))</f>
        <v>***以下空白***</v>
      </c>
      <c r="E68" s="245"/>
      <c r="F68" s="245"/>
      <c r="G68" s="246" t="str">
        <f ca="1">IF(D68=0,"-",IF(DPAA保額="",IF(總檢核,IF($A68="","",SUM('試算表(16歲-65歲)'!C49:N49)),""),IF(保費分齡表對應=2,IF(總檢核,IF($A68="","",SUM('試算表(16歲-65歲)'!C49:N49)),""),"")))</f>
        <v/>
      </c>
      <c r="H68" s="246"/>
      <c r="I68" s="246"/>
      <c r="J68" s="246" t="str">
        <f t="shared" ca="1" si="6"/>
        <v/>
      </c>
      <c r="K68" s="246"/>
      <c r="L68" s="246"/>
      <c r="M68" s="246"/>
      <c r="N68" s="245" t="str">
        <f ca="1">IF(DPAA保額="",IF(總檢核,IF(A68="","",'試算表(16歲-65歲)'!O49),""),IF(保費分齡表對應=2,IF(總檢核,IF(A68="","",'試算表(16歲-65歲)'!O49),""),""))</f>
        <v/>
      </c>
      <c r="O68" s="245"/>
      <c r="P68" s="245"/>
      <c r="Q68" s="245" t="str">
        <f ca="1">IF(N68=0,"-",IF(DPAA保額="",IF(總檢核,IF($A68="","",SUM('試算表(16歲-65歲)'!P49:AA49)),""),IF(保費分齡表對應=2,IF(總檢核,IF($A68="","",SUM('試算表(16歲-65歲)'!P49:AA49)),""),"")))</f>
        <v/>
      </c>
      <c r="R68" s="245"/>
      <c r="S68" s="245"/>
      <c r="T68" s="246" t="str">
        <f t="shared" ca="1" si="7"/>
        <v/>
      </c>
      <c r="U68" s="246"/>
      <c r="V68" s="246"/>
      <c r="W68" s="246"/>
    </row>
    <row r="69" spans="1:23">
      <c r="A69" s="227" t="str">
        <f ca="1">IF(DPAA保額="",IF(總檢核,'試算表(16歲-65歲)'!A50,""),IF(保費分齡表對應=2,IF(總檢核,'試算表(16歲-65歲)'!A50,""),""))</f>
        <v/>
      </c>
      <c r="B69" s="227"/>
      <c r="C69" s="227"/>
      <c r="D69" s="243" t="str">
        <f ca="1">IF(DPAA保額="",IF(總檢核,IF(A68=分齡表最大顯示年齡,"***以下空白***",IF(A69&lt;=分齡表最大顯示年齡,'試算表(16歲-65歲)'!B50,"")),""),IF(保費分齡表對應=2,IF(總檢核,IF(A68=分齡表最大顯示年齡,"***以下空白***",IF(A69&lt;=分齡表最大顯示年齡,'試算表(16歲-65歲)'!B50,"")),""),""))</f>
        <v/>
      </c>
      <c r="E69" s="243"/>
      <c r="F69" s="243"/>
      <c r="G69" s="241" t="str">
        <f ca="1">IF(DPAA保額="",IF(總檢核,IF($A69="","",SUM('試算表(16歲-65歲)'!C50:N50)),""),IF(保費分齡表對應=2,IF(總檢核,IF($A69="","",SUM('試算表(16歲-65歲)'!C50:N50)),""),""))</f>
        <v/>
      </c>
      <c r="H69" s="241"/>
      <c r="I69" s="241"/>
      <c r="J69" s="241" t="str">
        <f t="shared" ref="J69:J86" ca="1" si="8">IF(DPAA保額="",IF(總檢核,IF($A69="","",D69+G69),""),IF(保費分齡表對應=2,IF(總檢核,IF($A69="","",D69+G69),""),""))</f>
        <v/>
      </c>
      <c r="K69" s="241"/>
      <c r="L69" s="241"/>
      <c r="M69" s="241"/>
      <c r="N69" s="243" t="str">
        <f ca="1">IF(DPAA保額="",IF(總檢核,IF(A69="","",'試算表(16歲-65歲)'!O50),""),IF(保費分齡表對應=2,IF(總檢核,IF(A69="","",'試算表(16歲-65歲)'!O50),""),""))</f>
        <v/>
      </c>
      <c r="O69" s="243"/>
      <c r="P69" s="243"/>
      <c r="Q69" s="243" t="str">
        <f ca="1">IF(DPAA保額="",IF(總檢核,IF($A69="","",SUM('試算表(16歲-65歲)'!P50:AA50)),""),IF(保費分齡表對應=2,IF(總檢核,IF($A69="","",SUM('試算表(16歲-65歲)'!P50:AA50)),""),""))</f>
        <v/>
      </c>
      <c r="R69" s="243"/>
      <c r="S69" s="243"/>
      <c r="T69" s="241" t="str">
        <f t="shared" ref="T69:T86" ca="1" si="9">IF(DPAA保額="",IF(總檢核,IF($A69="","",N69+Q69),""),IF(保費分齡表對應=2,IF(總檢核,IF($A69="","",N69+Q69),""),""))</f>
        <v/>
      </c>
      <c r="U69" s="241"/>
      <c r="V69" s="241"/>
      <c r="W69" s="241"/>
    </row>
    <row r="70" spans="1:23">
      <c r="A70" s="227" t="str">
        <f ca="1">IF(DPAA保額="",IF(總檢核,'試算表(16歲-65歲)'!A51,""),IF(保費分齡表對應=2,IF(總檢核,'試算表(16歲-65歲)'!A51,""),""))</f>
        <v/>
      </c>
      <c r="B70" s="227"/>
      <c r="C70" s="227"/>
      <c r="D70" s="243" t="str">
        <f ca="1">IF(DPAA保額="",IF(總檢核,IF(A69=分齡表最大顯示年齡,"***以下空白***",IF(A70&lt;=分齡表最大顯示年齡,'試算表(16歲-65歲)'!B51,"")),""),IF(保費分齡表對應=2,IF(總檢核,IF(A69=分齡表最大顯示年齡,"***以下空白***",IF(A70&lt;=分齡表最大顯示年齡,'試算表(16歲-65歲)'!B51,"")),""),""))</f>
        <v/>
      </c>
      <c r="E70" s="243"/>
      <c r="F70" s="243"/>
      <c r="G70" s="241" t="str">
        <f ca="1">IF(DPAA保額="",IF(總檢核,IF($A70="","",SUM('試算表(16歲-65歲)'!C51:N51)),""),IF(保費分齡表對應=2,IF(總檢核,IF($A70="","",SUM('試算表(16歲-65歲)'!C51:N51)),""),""))</f>
        <v/>
      </c>
      <c r="H70" s="241"/>
      <c r="I70" s="241"/>
      <c r="J70" s="241" t="str">
        <f t="shared" ca="1" si="8"/>
        <v/>
      </c>
      <c r="K70" s="241"/>
      <c r="L70" s="241"/>
      <c r="M70" s="241"/>
      <c r="N70" s="243" t="str">
        <f ca="1">IF(DPAA保額="",IF(總檢核,IF(A70="","",'試算表(16歲-65歲)'!O51),""),IF(保費分齡表對應=2,IF(總檢核,IF(A70="","",'試算表(16歲-65歲)'!O51),""),""))</f>
        <v/>
      </c>
      <c r="O70" s="243"/>
      <c r="P70" s="243"/>
      <c r="Q70" s="243" t="str">
        <f ca="1">IF(DPAA保額="",IF(總檢核,IF($A70="","",SUM('試算表(16歲-65歲)'!P51:AA51)),""),IF(保費分齡表對應=2,IF(總檢核,IF($A70="","",SUM('試算表(16歲-65歲)'!P51:AA51)),""),""))</f>
        <v/>
      </c>
      <c r="R70" s="243"/>
      <c r="S70" s="243"/>
      <c r="T70" s="241" t="str">
        <f t="shared" ca="1" si="9"/>
        <v/>
      </c>
      <c r="U70" s="241"/>
      <c r="V70" s="241"/>
      <c r="W70" s="241"/>
    </row>
    <row r="71" spans="1:23">
      <c r="A71" s="227" t="str">
        <f ca="1">IF(DPAA保額="",IF(總檢核,'試算表(16歲-65歲)'!A52,""),IF(保費分齡表對應=2,IF(總檢核,'試算表(16歲-65歲)'!A52,""),""))</f>
        <v/>
      </c>
      <c r="B71" s="227"/>
      <c r="C71" s="227"/>
      <c r="D71" s="243" t="str">
        <f ca="1">IF(DPAA保額="",IF(總檢核,IF(A70=分齡表最大顯示年齡,"***以下空白***",IF(A71&lt;=分齡表最大顯示年齡,'試算表(16歲-65歲)'!B52,"")),""),IF(保費分齡表對應=2,IF(總檢核,IF(A70=分齡表最大顯示年齡,"***以下空白***",IF(A71&lt;=分齡表最大顯示年齡,'試算表(16歲-65歲)'!B52,"")),""),""))</f>
        <v/>
      </c>
      <c r="E71" s="243"/>
      <c r="F71" s="243"/>
      <c r="G71" s="241" t="str">
        <f ca="1">IF(DPAA保額="",IF(總檢核,IF($A71="","",SUM('試算表(16歲-65歲)'!C52:N52)),""),IF(保費分齡表對應=2,IF(總檢核,IF($A71="","",SUM('試算表(16歲-65歲)'!C52:N52)),""),""))</f>
        <v/>
      </c>
      <c r="H71" s="241"/>
      <c r="I71" s="241"/>
      <c r="J71" s="241" t="str">
        <f t="shared" ca="1" si="8"/>
        <v/>
      </c>
      <c r="K71" s="241"/>
      <c r="L71" s="241"/>
      <c r="M71" s="241"/>
      <c r="N71" s="243" t="str">
        <f ca="1">IF(DPAA保額="",IF(總檢核,IF(A71="","",'試算表(16歲-65歲)'!O52),""),IF(保費分齡表對應=2,IF(總檢核,IF(A71="","",'試算表(16歲-65歲)'!O52),""),""))</f>
        <v/>
      </c>
      <c r="O71" s="243"/>
      <c r="P71" s="243"/>
      <c r="Q71" s="243" t="str">
        <f ca="1">IF(DPAA保額="",IF(總檢核,IF($A71="","",SUM('試算表(16歲-65歲)'!P52:AA52)),""),IF(保費分齡表對應=2,IF(總檢核,IF($A71="","",SUM('試算表(16歲-65歲)'!P52:AA52)),""),""))</f>
        <v/>
      </c>
      <c r="R71" s="243"/>
      <c r="S71" s="243"/>
      <c r="T71" s="241" t="str">
        <f t="shared" ca="1" si="9"/>
        <v/>
      </c>
      <c r="U71" s="241"/>
      <c r="V71" s="241"/>
      <c r="W71" s="241"/>
    </row>
    <row r="72" spans="1:23" ht="16" thickBot="1">
      <c r="A72" s="263" t="str">
        <f ca="1">IF(DPAA保額="",IF(總檢核,'試算表(16歲-65歲)'!A53,""),IF(保費分齡表對應=2,IF(總檢核,'試算表(16歲-65歲)'!A53,""),""))</f>
        <v/>
      </c>
      <c r="B72" s="263"/>
      <c r="C72" s="263"/>
      <c r="D72" s="264" t="str">
        <f ca="1">IF(DPAA保額="",IF(總檢核,IF(A71=分齡表最大顯示年齡,"***以下空白***",IF(A72&lt;=分齡表最大顯示年齡,'試算表(16歲-65歲)'!B53,"")),""),IF(保費分齡表對應=2,IF(總檢核,IF(A71=分齡表最大顯示年齡,"***以下空白***",IF(A72&lt;=分齡表最大顯示年齡,'試算表(16歲-65歲)'!B53,"")),""),""))</f>
        <v/>
      </c>
      <c r="E72" s="264"/>
      <c r="F72" s="264"/>
      <c r="G72" s="262" t="str">
        <f ca="1">IF(DPAA保額="",IF(總檢核,IF($A72="","",SUM('試算表(16歲-65歲)'!C53:N53)),""),IF(保費分齡表對應=2,IF(總檢核,IF($A72="","",SUM('試算表(16歲-65歲)'!C53:N53)),""),""))</f>
        <v/>
      </c>
      <c r="H72" s="262"/>
      <c r="I72" s="262"/>
      <c r="J72" s="262" t="str">
        <f t="shared" ca="1" si="8"/>
        <v/>
      </c>
      <c r="K72" s="262"/>
      <c r="L72" s="262"/>
      <c r="M72" s="262"/>
      <c r="N72" s="264" t="str">
        <f ca="1">IF(DPAA保額="",IF(總檢核,IF(A72="","",'試算表(16歲-65歲)'!O53),""),IF(保費分齡表對應=2,IF(總檢核,IF(A72="","",'試算表(16歲-65歲)'!O53),""),""))</f>
        <v/>
      </c>
      <c r="O72" s="264"/>
      <c r="P72" s="264"/>
      <c r="Q72" s="264" t="str">
        <f ca="1">IF(DPAA保額="",IF(總檢核,IF($A72="","",SUM('試算表(16歲-65歲)'!P53:AA53)),""),IF(保費分齡表對應=2,IF(總檢核,IF($A72="","",SUM('試算表(16歲-65歲)'!P53:AA53)),""),""))</f>
        <v/>
      </c>
      <c r="R72" s="264"/>
      <c r="S72" s="264"/>
      <c r="T72" s="262" t="str">
        <f t="shared" ca="1" si="9"/>
        <v/>
      </c>
      <c r="U72" s="262"/>
      <c r="V72" s="262"/>
      <c r="W72" s="262"/>
    </row>
    <row r="73" spans="1:23" hidden="1">
      <c r="A73" s="254" t="str">
        <f ca="1">IF(DPAA保額="",IF(總檢核,'試算表(16歲-65歲)'!A54,""),IF(保費分齡表對應=2,IF(總檢核,'試算表(16歲-65歲)'!A54,""),""))</f>
        <v/>
      </c>
      <c r="B73" s="254"/>
      <c r="C73" s="254"/>
      <c r="D73" s="255" t="str">
        <f ca="1">IF(DPAA保額="",IF(總檢核,IF(A72=分齡表最大顯示年齡,"***以下空白***",IF(A73&lt;=分齡表最大顯示年齡,'試算表(16歲-65歲)'!B54,"")),""),IF(保費分齡表對應=2,IF(總檢核,IF(A72=分齡表最大顯示年齡,"***以下空白***",IF(A73&lt;=分齡表最大顯示年齡,'試算表(16歲-65歲)'!B54,"")),""),""))</f>
        <v/>
      </c>
      <c r="E73" s="255"/>
      <c r="F73" s="255"/>
      <c r="G73" s="253" t="str">
        <f ca="1">IF(DPAA保額="",IF(總檢核,IF($A73="","",SUM('試算表(16歲-65歲)'!C54:N54)),""),IF(保費分齡表對應=2,IF(總檢核,IF($A73="","",SUM('試算表(16歲-65歲)'!C54:N54)),""),""))</f>
        <v/>
      </c>
      <c r="H73" s="253"/>
      <c r="I73" s="253"/>
      <c r="J73" s="253" t="str">
        <f t="shared" ca="1" si="8"/>
        <v/>
      </c>
      <c r="K73" s="253"/>
      <c r="L73" s="253"/>
      <c r="M73" s="253"/>
      <c r="N73" s="255" t="str">
        <f ca="1">IF(DPAA保額="",IF(總檢核,IF(A73="","",'試算表(16歲-65歲)'!O54),""),IF(保費分齡表對應=2,IF(總檢核,IF(A73="","",'試算表(16歲-65歲)'!O54),""),""))</f>
        <v/>
      </c>
      <c r="O73" s="255"/>
      <c r="P73" s="255"/>
      <c r="Q73" s="255" t="str">
        <f ca="1">IF(DPAA保額="",IF(總檢核,IF($A73="","",SUM('試算表(16歲-65歲)'!P54:AA54)),""),IF(保費分齡表對應=2,IF(總檢核,IF($A73="","",SUM('試算表(16歲-65歲)'!P54:AA54)),""),""))</f>
        <v/>
      </c>
      <c r="R73" s="255"/>
      <c r="S73" s="255"/>
      <c r="T73" s="253" t="str">
        <f t="shared" ca="1" si="9"/>
        <v/>
      </c>
      <c r="U73" s="253"/>
      <c r="V73" s="253"/>
      <c r="W73" s="253"/>
    </row>
    <row r="74" spans="1:23" hidden="1">
      <c r="A74" s="251" t="str">
        <f ca="1">IF(DPAA保額="",IF(總檢核,'試算表(16歲-65歲)'!A55,""),IF(保費分齡表對應=2,IF(總檢核,'試算表(16歲-65歲)'!A55,""),""))</f>
        <v/>
      </c>
      <c r="B74" s="251"/>
      <c r="C74" s="251"/>
      <c r="D74" s="252" t="str">
        <f ca="1">IF(DPAA保額="",IF(總檢核,IF(A73=分齡表最大顯示年齡,"***以下空白***",IF(A74&lt;=分齡表最大顯示年齡,'試算表(16歲-65歲)'!B55,"")),""),IF(保費分齡表對應=2,IF(總檢核,IF(A73=分齡表最大顯示年齡,"***以下空白***",IF(A74&lt;=分齡表最大顯示年齡,'試算表(16歲-65歲)'!B55,"")),""),""))</f>
        <v/>
      </c>
      <c r="E74" s="252"/>
      <c r="F74" s="252"/>
      <c r="G74" s="250" t="str">
        <f ca="1">IF(DPAA保額="",IF(總檢核,IF($A74="","",SUM('試算表(16歲-65歲)'!C55:N55)),""),IF(保費分齡表對應=2,IF(總檢核,IF($A74="","",SUM('試算表(16歲-65歲)'!C55:N55)),""),""))</f>
        <v/>
      </c>
      <c r="H74" s="250"/>
      <c r="I74" s="250"/>
      <c r="J74" s="250" t="str">
        <f t="shared" ca="1" si="8"/>
        <v/>
      </c>
      <c r="K74" s="250"/>
      <c r="L74" s="250"/>
      <c r="M74" s="250"/>
      <c r="N74" s="252" t="str">
        <f ca="1">IF(DPAA保額="",IF(總檢核,IF(A74="","",'試算表(16歲-65歲)'!O55),""),IF(保費分齡表對應=2,IF(總檢核,IF(A74="","",'試算表(16歲-65歲)'!O55),""),""))</f>
        <v/>
      </c>
      <c r="O74" s="252"/>
      <c r="P74" s="252"/>
      <c r="Q74" s="252" t="str">
        <f ca="1">IF(DPAA保額="",IF(總檢核,IF($A74="","",SUM('試算表(16歲-65歲)'!P55:AA55)),""),IF(保費分齡表對應=2,IF(總檢核,IF($A74="","",SUM('試算表(16歲-65歲)'!P55:AA55)),""),""))</f>
        <v/>
      </c>
      <c r="R74" s="252"/>
      <c r="S74" s="252"/>
      <c r="T74" s="250" t="str">
        <f t="shared" ca="1" si="9"/>
        <v/>
      </c>
      <c r="U74" s="250"/>
      <c r="V74" s="250"/>
      <c r="W74" s="250"/>
    </row>
    <row r="75" spans="1:23" hidden="1">
      <c r="A75" s="251" t="str">
        <f ca="1">IF(DPAA保額="",IF(總檢核,'試算表(16歲-65歲)'!A56,""),IF(保費分齡表對應=2,IF(總檢核,'試算表(16歲-65歲)'!A56,""),""))</f>
        <v/>
      </c>
      <c r="B75" s="251"/>
      <c r="C75" s="251"/>
      <c r="D75" s="252" t="str">
        <f ca="1">IF(DPAA保額="",IF(總檢核,IF(A74=分齡表最大顯示年齡,"***以下空白***",IF(A75&lt;=分齡表最大顯示年齡,'試算表(16歲-65歲)'!B56,"")),""),IF(保費分齡表對應=2,IF(總檢核,IF(A74=分齡表最大顯示年齡,"***以下空白***",IF(A75&lt;=分齡表最大顯示年齡,'試算表(16歲-65歲)'!B56,"")),""),""))</f>
        <v/>
      </c>
      <c r="E75" s="252"/>
      <c r="F75" s="252"/>
      <c r="G75" s="250" t="str">
        <f ca="1">IF(DPAA保額="",IF(總檢核,IF($A75="","",SUM('試算表(16歲-65歲)'!C56:N56)),""),IF(保費分齡表對應=2,IF(總檢核,IF($A75="","",SUM('試算表(16歲-65歲)'!C56:N56)),""),""))</f>
        <v/>
      </c>
      <c r="H75" s="250"/>
      <c r="I75" s="250"/>
      <c r="J75" s="250" t="str">
        <f t="shared" ca="1" si="8"/>
        <v/>
      </c>
      <c r="K75" s="250"/>
      <c r="L75" s="250"/>
      <c r="M75" s="250"/>
      <c r="N75" s="252" t="str">
        <f ca="1">IF(DPAA保額="",IF(總檢核,IF(A75="","",'試算表(16歲-65歲)'!O56),""),IF(保費分齡表對應=2,IF(總檢核,IF(A75="","",'試算表(16歲-65歲)'!O56),""),""))</f>
        <v/>
      </c>
      <c r="O75" s="252"/>
      <c r="P75" s="252"/>
      <c r="Q75" s="252" t="str">
        <f ca="1">IF(DPAA保額="",IF(總檢核,IF($A75="","",SUM('試算表(16歲-65歲)'!P56:AA56)),""),IF(保費分齡表對應=2,IF(總檢核,IF($A75="","",SUM('試算表(16歲-65歲)'!P56:AA56)),""),""))</f>
        <v/>
      </c>
      <c r="R75" s="252"/>
      <c r="S75" s="252"/>
      <c r="T75" s="250" t="str">
        <f t="shared" ca="1" si="9"/>
        <v/>
      </c>
      <c r="U75" s="250"/>
      <c r="V75" s="250"/>
      <c r="W75" s="250"/>
    </row>
    <row r="76" spans="1:23" hidden="1">
      <c r="A76" s="251" t="str">
        <f ca="1">IF(DPAA保額="",IF(總檢核,'試算表(16歲-65歲)'!A57,""),IF(保費分齡表對應=2,IF(總檢核,'試算表(16歲-65歲)'!A57,""),""))</f>
        <v/>
      </c>
      <c r="B76" s="251"/>
      <c r="C76" s="251"/>
      <c r="D76" s="252" t="str">
        <f ca="1">IF(DPAA保額="",IF(總檢核,IF(A75=分齡表最大顯示年齡,"***以下空白***",IF(A76&lt;=分齡表最大顯示年齡,'試算表(16歲-65歲)'!B57,"")),""),IF(保費分齡表對應=2,IF(總檢核,IF(A75=分齡表最大顯示年齡,"***以下空白***",IF(A76&lt;=分齡表最大顯示年齡,'試算表(16歲-65歲)'!B57,"")),""),""))</f>
        <v/>
      </c>
      <c r="E76" s="252"/>
      <c r="F76" s="252"/>
      <c r="G76" s="250" t="str">
        <f ca="1">IF(DPAA保額="",IF(總檢核,IF($A76="","",SUM('試算表(16歲-65歲)'!C57:N57)),""),IF(保費分齡表對應=2,IF(總檢核,IF($A76="","",SUM('試算表(16歲-65歲)'!C57:N57)),""),""))</f>
        <v/>
      </c>
      <c r="H76" s="250"/>
      <c r="I76" s="250"/>
      <c r="J76" s="250" t="str">
        <f t="shared" ca="1" si="8"/>
        <v/>
      </c>
      <c r="K76" s="250"/>
      <c r="L76" s="250"/>
      <c r="M76" s="250"/>
      <c r="N76" s="252" t="str">
        <f ca="1">IF(DPAA保額="",IF(總檢核,IF(A76="","",'試算表(16歲-65歲)'!O57),""),IF(保費分齡表對應=2,IF(總檢核,IF(A76="","",'試算表(16歲-65歲)'!O57),""),""))</f>
        <v/>
      </c>
      <c r="O76" s="252"/>
      <c r="P76" s="252"/>
      <c r="Q76" s="252" t="str">
        <f ca="1">IF(DPAA保額="",IF(總檢核,IF($A76="","",SUM('試算表(16歲-65歲)'!P57:AA57)),""),IF(保費分齡表對應=2,IF(總檢核,IF($A76="","",SUM('試算表(16歲-65歲)'!P57:AA57)),""),""))</f>
        <v/>
      </c>
      <c r="R76" s="252"/>
      <c r="S76" s="252"/>
      <c r="T76" s="250" t="str">
        <f t="shared" ca="1" si="9"/>
        <v/>
      </c>
      <c r="U76" s="250"/>
      <c r="V76" s="250"/>
      <c r="W76" s="250"/>
    </row>
    <row r="77" spans="1:23" hidden="1">
      <c r="A77" s="251" t="str">
        <f ca="1">IF(DPAA保額="",IF(總檢核,'試算表(16歲-65歲)'!A58,""),IF(保費分齡表對應=2,IF(總檢核,'試算表(16歲-65歲)'!A58,""),""))</f>
        <v/>
      </c>
      <c r="B77" s="251"/>
      <c r="C77" s="251"/>
      <c r="D77" s="252" t="str">
        <f ca="1">IF(DPAA保額="",IF(總檢核,IF(A76=分齡表最大顯示年齡,"***以下空白***",IF(A77&lt;=分齡表最大顯示年齡,'試算表(16歲-65歲)'!B58,"")),""),IF(保費分齡表對應=2,IF(總檢核,IF(A76=分齡表最大顯示年齡,"***以下空白***",IF(A77&lt;=分齡表最大顯示年齡,'試算表(16歲-65歲)'!B58,"")),""),""))</f>
        <v/>
      </c>
      <c r="E77" s="252"/>
      <c r="F77" s="252"/>
      <c r="G77" s="250" t="str">
        <f ca="1">IF(DPAA保額="",IF(總檢核,IF($A77="","",SUM('試算表(16歲-65歲)'!C58:N58)),""),IF(保費分齡表對應=2,IF(總檢核,IF($A77="","",SUM('試算表(16歲-65歲)'!C58:N58)),""),""))</f>
        <v/>
      </c>
      <c r="H77" s="250"/>
      <c r="I77" s="250"/>
      <c r="J77" s="250" t="str">
        <f t="shared" ca="1" si="8"/>
        <v/>
      </c>
      <c r="K77" s="250"/>
      <c r="L77" s="250"/>
      <c r="M77" s="250"/>
      <c r="N77" s="252" t="str">
        <f ca="1">IF(DPAA保額="",IF(總檢核,IF(A77="","",'試算表(16歲-65歲)'!O58),""),IF(保費分齡表對應=2,IF(總檢核,IF(A77="","",'試算表(16歲-65歲)'!O58),""),""))</f>
        <v/>
      </c>
      <c r="O77" s="252"/>
      <c r="P77" s="252"/>
      <c r="Q77" s="252" t="str">
        <f ca="1">IF(DPAA保額="",IF(總檢核,IF($A77="","",SUM('試算表(16歲-65歲)'!P58:AA58)),""),IF(保費分齡表對應=2,IF(總檢核,IF($A77="","",SUM('試算表(16歲-65歲)'!P58:AA58)),""),""))</f>
        <v/>
      </c>
      <c r="R77" s="252"/>
      <c r="S77" s="252"/>
      <c r="T77" s="250" t="str">
        <f t="shared" ca="1" si="9"/>
        <v/>
      </c>
      <c r="U77" s="250"/>
      <c r="V77" s="250"/>
      <c r="W77" s="250"/>
    </row>
    <row r="78" spans="1:23" hidden="1">
      <c r="A78" s="254" t="str">
        <f ca="1">IF(DPAA保額="",IF(總檢核,'試算表(16歲-65歲)'!A59,""),IF(保費分齡表對應=2,IF(總檢核,'試算表(16歲-65歲)'!A59,""),""))</f>
        <v/>
      </c>
      <c r="B78" s="254"/>
      <c r="C78" s="254"/>
      <c r="D78" s="255" t="str">
        <f ca="1">IF(DPAA保額="",IF(總檢核,IF(A77=分齡表最大顯示年齡,"***以下空白***",IF(A78&lt;=分齡表最大顯示年齡,'試算表(16歲-65歲)'!B59,"")),""),IF(保費分齡表對應=2,IF(總檢核,IF(A77=分齡表最大顯示年齡,"***以下空白***",IF(A78&lt;=分齡表最大顯示年齡,'試算表(16歲-65歲)'!B59,"")),""),""))</f>
        <v/>
      </c>
      <c r="E78" s="255"/>
      <c r="F78" s="255"/>
      <c r="G78" s="253" t="str">
        <f ca="1">IF(DPAA保額="",IF(總檢核,IF($A78="","",SUM('試算表(16歲-65歲)'!C59:N59)),""),IF(保費分齡表對應=2,IF(總檢核,IF($A78="","",SUM('試算表(16歲-65歲)'!C59:N59)),""),""))</f>
        <v/>
      </c>
      <c r="H78" s="253"/>
      <c r="I78" s="253"/>
      <c r="J78" s="253" t="str">
        <f t="shared" ca="1" si="8"/>
        <v/>
      </c>
      <c r="K78" s="253"/>
      <c r="L78" s="253"/>
      <c r="M78" s="253"/>
      <c r="N78" s="255" t="str">
        <f ca="1">IF(DPAA保額="",IF(總檢核,IF(A78="","",'試算表(16歲-65歲)'!O59),""),IF(保費分齡表對應=2,IF(總檢核,IF(A78="","",'試算表(16歲-65歲)'!O59),""),""))</f>
        <v/>
      </c>
      <c r="O78" s="255"/>
      <c r="P78" s="255"/>
      <c r="Q78" s="255" t="str">
        <f ca="1">IF(DPAA保額="",IF(總檢核,IF($A78="","",SUM('試算表(16歲-65歲)'!P59:AA59)),""),IF(保費分齡表對應=2,IF(總檢核,IF($A78="","",SUM('試算表(16歲-65歲)'!P59:AA59)),""),""))</f>
        <v/>
      </c>
      <c r="R78" s="255"/>
      <c r="S78" s="255"/>
      <c r="T78" s="253" t="str">
        <f t="shared" ca="1" si="9"/>
        <v/>
      </c>
      <c r="U78" s="253"/>
      <c r="V78" s="253"/>
      <c r="W78" s="253"/>
    </row>
    <row r="79" spans="1:23" hidden="1">
      <c r="A79" s="251" t="str">
        <f ca="1">IF(DPAA保額="",IF(總檢核,'試算表(16歲-65歲)'!A60,""),IF(保費分齡表對應=2,IF(總檢核,'試算表(16歲-65歲)'!A60,""),""))</f>
        <v/>
      </c>
      <c r="B79" s="251"/>
      <c r="C79" s="251"/>
      <c r="D79" s="252" t="str">
        <f ca="1">IF(DPAA保額="",IF(總檢核,IF(A78=分齡表最大顯示年齡,"***以下空白***",IF(A79&lt;=分齡表最大顯示年齡,'試算表(16歲-65歲)'!B60,"")),""),IF(保費分齡表對應=2,IF(總檢核,IF(A78=分齡表最大顯示年齡,"***以下空白***",IF(A79&lt;=分齡表最大顯示年齡,'試算表(16歲-65歲)'!B60,"")),""),""))</f>
        <v/>
      </c>
      <c r="E79" s="252"/>
      <c r="F79" s="252"/>
      <c r="G79" s="250" t="str">
        <f ca="1">IF(DPAA保額="",IF(總檢核,IF($A79="","",SUM('試算表(16歲-65歲)'!C60:N60)),""),IF(保費分齡表對應=2,IF(總檢核,IF($A79="","",SUM('試算表(16歲-65歲)'!C60:N60)),""),""))</f>
        <v/>
      </c>
      <c r="H79" s="250"/>
      <c r="I79" s="250"/>
      <c r="J79" s="250" t="str">
        <f t="shared" ca="1" si="8"/>
        <v/>
      </c>
      <c r="K79" s="250"/>
      <c r="L79" s="250"/>
      <c r="M79" s="250"/>
      <c r="N79" s="252" t="str">
        <f ca="1">IF(DPAA保額="",IF(總檢核,IF(A79="","",'試算表(16歲-65歲)'!O60),""),IF(保費分齡表對應=2,IF(總檢核,IF(A79="","",'試算表(16歲-65歲)'!O60),""),""))</f>
        <v/>
      </c>
      <c r="O79" s="252"/>
      <c r="P79" s="252"/>
      <c r="Q79" s="252" t="str">
        <f ca="1">IF(DPAA保額="",IF(總檢核,IF($A79="","",SUM('試算表(16歲-65歲)'!P60:AA60)),""),IF(保費分齡表對應=2,IF(總檢核,IF($A79="","",SUM('試算表(16歲-65歲)'!P60:AA60)),""),""))</f>
        <v/>
      </c>
      <c r="R79" s="252"/>
      <c r="S79" s="252"/>
      <c r="T79" s="250" t="str">
        <f t="shared" ca="1" si="9"/>
        <v/>
      </c>
      <c r="U79" s="250"/>
      <c r="V79" s="250"/>
      <c r="W79" s="250"/>
    </row>
    <row r="80" spans="1:23" hidden="1">
      <c r="A80" s="251" t="str">
        <f ca="1">IF(DPAA保額="",IF(總檢核,'試算表(16歲-65歲)'!A61,""),IF(保費分齡表對應=2,IF(總檢核,'試算表(16歲-65歲)'!A61,""),""))</f>
        <v/>
      </c>
      <c r="B80" s="251"/>
      <c r="C80" s="251"/>
      <c r="D80" s="252" t="str">
        <f ca="1">IF(DPAA保額="",IF(總檢核,IF(A79=分齡表最大顯示年齡,"***以下空白***",IF(A80&lt;=分齡表最大顯示年齡,'試算表(16歲-65歲)'!B61,"")),""),IF(保費分齡表對應=2,IF(總檢核,IF(A79=分齡表最大顯示年齡,"***以下空白***",IF(A80&lt;=分齡表最大顯示年齡,'試算表(16歲-65歲)'!B61,"")),""),""))</f>
        <v/>
      </c>
      <c r="E80" s="252"/>
      <c r="F80" s="252"/>
      <c r="G80" s="250" t="str">
        <f ca="1">IF(DPAA保額="",IF(總檢核,IF($A80="","",SUM('試算表(16歲-65歲)'!C61:N61)),""),IF(保費分齡表對應=2,IF(總檢核,IF($A80="","",SUM('試算表(16歲-65歲)'!C61:N61)),""),""))</f>
        <v/>
      </c>
      <c r="H80" s="250"/>
      <c r="I80" s="250"/>
      <c r="J80" s="250" t="str">
        <f t="shared" ca="1" si="8"/>
        <v/>
      </c>
      <c r="K80" s="250"/>
      <c r="L80" s="250"/>
      <c r="M80" s="250"/>
      <c r="N80" s="252" t="str">
        <f ca="1">IF(DPAA保額="",IF(總檢核,IF(A80="","",'試算表(16歲-65歲)'!O61),""),IF(保費分齡表對應=2,IF(總檢核,IF(A80="","",'試算表(16歲-65歲)'!O61),""),""))</f>
        <v/>
      </c>
      <c r="O80" s="252"/>
      <c r="P80" s="252"/>
      <c r="Q80" s="252" t="str">
        <f ca="1">IF(DPAA保額="",IF(總檢核,IF($A80="","",SUM('試算表(16歲-65歲)'!P61:AA61)),""),IF(保費分齡表對應=2,IF(總檢核,IF($A80="","",SUM('試算表(16歲-65歲)'!P61:AA61)),""),""))</f>
        <v/>
      </c>
      <c r="R80" s="252"/>
      <c r="S80" s="252"/>
      <c r="T80" s="250" t="str">
        <f t="shared" ca="1" si="9"/>
        <v/>
      </c>
      <c r="U80" s="250"/>
      <c r="V80" s="250"/>
      <c r="W80" s="250"/>
    </row>
    <row r="81" spans="1:23" hidden="1">
      <c r="A81" s="251" t="str">
        <f ca="1">IF(DPAA保額="",IF(總檢核,'試算表(16歲-65歲)'!A62,""),IF(保費分齡表對應=2,IF(總檢核,'試算表(16歲-65歲)'!A62,""),""))</f>
        <v/>
      </c>
      <c r="B81" s="251"/>
      <c r="C81" s="251"/>
      <c r="D81" s="252" t="str">
        <f ca="1">IF(DPAA保額="",IF(總檢核,IF(A80=分齡表最大顯示年齡,"***以下空白***",IF(A81&lt;=分齡表最大顯示年齡,'試算表(16歲-65歲)'!B62,"")),""),IF(保費分齡表對應=2,IF(總檢核,IF(A80=分齡表最大顯示年齡,"***以下空白***",IF(A81&lt;=分齡表最大顯示年齡,'試算表(16歲-65歲)'!B62,"")),""),""))</f>
        <v/>
      </c>
      <c r="E81" s="252"/>
      <c r="F81" s="252"/>
      <c r="G81" s="250" t="str">
        <f ca="1">IF(DPAA保額="",IF(總檢核,IF($A81="","",SUM('試算表(16歲-65歲)'!C62:N62)),""),IF(保費分齡表對應=2,IF(總檢核,IF($A81="","",SUM('試算表(16歲-65歲)'!C62:N62)),""),""))</f>
        <v/>
      </c>
      <c r="H81" s="250"/>
      <c r="I81" s="250"/>
      <c r="J81" s="250" t="str">
        <f t="shared" ca="1" si="8"/>
        <v/>
      </c>
      <c r="K81" s="250"/>
      <c r="L81" s="250"/>
      <c r="M81" s="250"/>
      <c r="N81" s="252" t="str">
        <f ca="1">IF(DPAA保額="",IF(總檢核,IF(A81="","",'試算表(16歲-65歲)'!O62),""),IF(保費分齡表對應=2,IF(總檢核,IF(A81="","",'試算表(16歲-65歲)'!O62),""),""))</f>
        <v/>
      </c>
      <c r="O81" s="252"/>
      <c r="P81" s="252"/>
      <c r="Q81" s="252" t="str">
        <f ca="1">IF(DPAA保額="",IF(總檢核,IF($A81="","",SUM('試算表(16歲-65歲)'!P62:AA62)),""),IF(保費分齡表對應=2,IF(總檢核,IF($A81="","",SUM('試算表(16歲-65歲)'!P62:AA62)),""),""))</f>
        <v/>
      </c>
      <c r="R81" s="252"/>
      <c r="S81" s="252"/>
      <c r="T81" s="250" t="str">
        <f t="shared" ca="1" si="9"/>
        <v/>
      </c>
      <c r="U81" s="250"/>
      <c r="V81" s="250"/>
      <c r="W81" s="250"/>
    </row>
    <row r="82" spans="1:23" hidden="1">
      <c r="A82" s="251" t="str">
        <f ca="1">IF(DPAA保額="",IF(總檢核,'試算表(16歲-65歲)'!A63,""),IF(保費分齡表對應=2,IF(總檢核,'試算表(16歲-65歲)'!A63,""),""))</f>
        <v/>
      </c>
      <c r="B82" s="251"/>
      <c r="C82" s="251"/>
      <c r="D82" s="252" t="str">
        <f ca="1">IF(DPAA保額="",IF(總檢核,IF(A81=分齡表最大顯示年齡,"***以下空白***",IF(A82&lt;=分齡表最大顯示年齡,'試算表(16歲-65歲)'!B63,"")),""),IF(保費分齡表對應=2,IF(總檢核,IF(A81=分齡表最大顯示年齡,"***以下空白***",IF(A82&lt;=分齡表最大顯示年齡,'試算表(16歲-65歲)'!B63,"")),""),""))</f>
        <v/>
      </c>
      <c r="E82" s="252"/>
      <c r="F82" s="252"/>
      <c r="G82" s="250" t="str">
        <f ca="1">IF(DPAA保額="",IF(總檢核,IF($A82="","",SUM('試算表(16歲-65歲)'!C63:N63)),""),IF(保費分齡表對應=2,IF(總檢核,IF($A82="","",SUM('試算表(16歲-65歲)'!C63:N63)),""),""))</f>
        <v/>
      </c>
      <c r="H82" s="250"/>
      <c r="I82" s="250"/>
      <c r="J82" s="250" t="str">
        <f t="shared" ca="1" si="8"/>
        <v/>
      </c>
      <c r="K82" s="250"/>
      <c r="L82" s="250"/>
      <c r="M82" s="250"/>
      <c r="N82" s="252" t="str">
        <f ca="1">IF(DPAA保額="",IF(總檢核,IF(A82="","",'試算表(16歲-65歲)'!O63),""),IF(保費分齡表對應=2,IF(總檢核,IF(A82="","",'試算表(16歲-65歲)'!O63),""),""))</f>
        <v/>
      </c>
      <c r="O82" s="252"/>
      <c r="P82" s="252"/>
      <c r="Q82" s="252" t="str">
        <f ca="1">IF(DPAA保額="",IF(總檢核,IF($A82="","",SUM('試算表(16歲-65歲)'!P63:AA63)),""),IF(保費分齡表對應=2,IF(總檢核,IF($A82="","",SUM('試算表(16歲-65歲)'!P63:AA63)),""),""))</f>
        <v/>
      </c>
      <c r="R82" s="252"/>
      <c r="S82" s="252"/>
      <c r="T82" s="250" t="str">
        <f t="shared" ca="1" si="9"/>
        <v/>
      </c>
      <c r="U82" s="250"/>
      <c r="V82" s="250"/>
      <c r="W82" s="250"/>
    </row>
    <row r="83" spans="1:23" hidden="1">
      <c r="A83" s="254" t="str">
        <f ca="1">IF(DPAA保額="",IF(總檢核,'試算表(16歲-65歲)'!A64,""),IF(保費分齡表對應=2,IF(總檢核,'試算表(16歲-65歲)'!A64,""),""))</f>
        <v/>
      </c>
      <c r="B83" s="254"/>
      <c r="C83" s="254"/>
      <c r="D83" s="255" t="str">
        <f ca="1">IF(DPAA保額="",IF(總檢核,IF(A82=分齡表最大顯示年齡,"***以下空白***",IF(A83&lt;=分齡表最大顯示年齡,'試算表(16歲-65歲)'!B64,"")),""),IF(保費分齡表對應=2,IF(總檢核,IF(A82=分齡表最大顯示年齡,"***以下空白***",IF(A83&lt;=分齡表最大顯示年齡,'試算表(16歲-65歲)'!B64,"")),""),""))</f>
        <v/>
      </c>
      <c r="E83" s="255"/>
      <c r="F83" s="255"/>
      <c r="G83" s="253" t="str">
        <f ca="1">IF(DPAA保額="",IF(總檢核,IF($A83="","",SUM('試算表(16歲-65歲)'!C64:N64)),""),IF(保費分齡表對應=2,IF(總檢核,IF($A83="","",SUM('試算表(16歲-65歲)'!C64:N64)),""),""))</f>
        <v/>
      </c>
      <c r="H83" s="253"/>
      <c r="I83" s="253"/>
      <c r="J83" s="253" t="str">
        <f t="shared" ca="1" si="8"/>
        <v/>
      </c>
      <c r="K83" s="253"/>
      <c r="L83" s="253"/>
      <c r="M83" s="253"/>
      <c r="N83" s="255" t="str">
        <f ca="1">IF(DPAA保額="",IF(總檢核,IF(A83="","",'試算表(16歲-65歲)'!O64),""),IF(保費分齡表對應=2,IF(總檢核,IF(A83="","",'試算表(16歲-65歲)'!O64),""),""))</f>
        <v/>
      </c>
      <c r="O83" s="255"/>
      <c r="P83" s="255"/>
      <c r="Q83" s="255" t="str">
        <f ca="1">IF(DPAA保額="",IF(總檢核,IF($A83="","",SUM('試算表(16歲-65歲)'!P64:AA64)),""),IF(保費分齡表對應=2,IF(總檢核,IF($A83="","",SUM('試算表(16歲-65歲)'!P64:AA64)),""),""))</f>
        <v/>
      </c>
      <c r="R83" s="255"/>
      <c r="S83" s="255"/>
      <c r="T83" s="253" t="str">
        <f t="shared" ca="1" si="9"/>
        <v/>
      </c>
      <c r="U83" s="253"/>
      <c r="V83" s="253"/>
      <c r="W83" s="253"/>
    </row>
    <row r="84" spans="1:23" hidden="1">
      <c r="A84" s="251" t="str">
        <f ca="1">IF(DPAA保額="",IF(總檢核,'試算表(16歲-65歲)'!A65,""),IF(保費分齡表對應=2,IF(總檢核,'試算表(16歲-65歲)'!A65,""),""))</f>
        <v/>
      </c>
      <c r="B84" s="251"/>
      <c r="C84" s="251"/>
      <c r="D84" s="252" t="str">
        <f ca="1">IF(DPAA保額="",IF(總檢核,IF(A83=分齡表最大顯示年齡,"***以下空白***",IF(A84&lt;=分齡表最大顯示年齡,'試算表(16歲-65歲)'!B65,"")),""),IF(保費分齡表對應=2,IF(總檢核,IF(A83=分齡表最大顯示年齡,"***以下空白***",IF(A84&lt;=分齡表最大顯示年齡,'試算表(16歲-65歲)'!B65,"")),""),""))</f>
        <v/>
      </c>
      <c r="E84" s="252"/>
      <c r="F84" s="252"/>
      <c r="G84" s="250" t="str">
        <f ca="1">IF(DPAA保額="",IF(總檢核,IF($A84="","",SUM('試算表(16歲-65歲)'!C65:N65)),""),IF(保費分齡表對應=2,IF(總檢核,IF($A84="","",SUM('試算表(16歲-65歲)'!C65:N65)),""),""))</f>
        <v/>
      </c>
      <c r="H84" s="250"/>
      <c r="I84" s="250"/>
      <c r="J84" s="250" t="str">
        <f t="shared" ca="1" si="8"/>
        <v/>
      </c>
      <c r="K84" s="250"/>
      <c r="L84" s="250"/>
      <c r="M84" s="250"/>
      <c r="N84" s="252" t="str">
        <f ca="1">IF(DPAA保額="",IF(總檢核,IF(A84="","",'試算表(16歲-65歲)'!O65),""),IF(保費分齡表對應=2,IF(總檢核,IF(A84="","",'試算表(16歲-65歲)'!O65),""),""))</f>
        <v/>
      </c>
      <c r="O84" s="252"/>
      <c r="P84" s="252"/>
      <c r="Q84" s="252" t="str">
        <f ca="1">IF(DPAA保額="",IF(總檢核,IF($A84="","",SUM('試算表(16歲-65歲)'!P65:AA65)),""),IF(保費分齡表對應=2,IF(總檢核,IF($A84="","",SUM('試算表(16歲-65歲)'!P65:AA65)),""),""))</f>
        <v/>
      </c>
      <c r="R84" s="252"/>
      <c r="S84" s="252"/>
      <c r="T84" s="250" t="str">
        <f t="shared" ca="1" si="9"/>
        <v/>
      </c>
      <c r="U84" s="250"/>
      <c r="V84" s="250"/>
      <c r="W84" s="250"/>
    </row>
    <row r="85" spans="1:23" hidden="1">
      <c r="A85" s="251" t="str">
        <f ca="1">IF(DPAA保額="",IF(總檢核,'試算表(16歲-65歲)'!A66,""),IF(保費分齡表對應=2,IF(總檢核,'試算表(16歲-65歲)'!A66,""),""))</f>
        <v/>
      </c>
      <c r="B85" s="251"/>
      <c r="C85" s="251"/>
      <c r="D85" s="252" t="str">
        <f ca="1">IF(DPAA保額="",IF(總檢核,IF(A84=分齡表最大顯示年齡,"***以下空白***",IF(A85&lt;=分齡表最大顯示年齡,'試算表(16歲-65歲)'!B66,"")),""),IF(保費分齡表對應=2,IF(總檢核,IF(A84=分齡表最大顯示年齡,"***以下空白***",IF(A85&lt;=分齡表最大顯示年齡,'試算表(16歲-65歲)'!B66,"")),""),""))</f>
        <v/>
      </c>
      <c r="E85" s="252"/>
      <c r="F85" s="252"/>
      <c r="G85" s="250" t="str">
        <f ca="1">IF(DPAA保額="",IF(總檢核,IF($A85="","",SUM('試算表(16歲-65歲)'!C66:N66)),""),IF(保費分齡表對應=2,IF(總檢核,IF($A85="","",SUM('試算表(16歲-65歲)'!C66:N66)),""),""))</f>
        <v/>
      </c>
      <c r="H85" s="250"/>
      <c r="I85" s="250"/>
      <c r="J85" s="250" t="str">
        <f t="shared" ca="1" si="8"/>
        <v/>
      </c>
      <c r="K85" s="250"/>
      <c r="L85" s="250"/>
      <c r="M85" s="250"/>
      <c r="N85" s="252" t="str">
        <f ca="1">IF(DPAA保額="",IF(總檢核,IF(A85="","",'試算表(16歲-65歲)'!O66),""),IF(保費分齡表對應=2,IF(總檢核,IF(A85="","",'試算表(16歲-65歲)'!O66),""),""))</f>
        <v/>
      </c>
      <c r="O85" s="252"/>
      <c r="P85" s="252"/>
      <c r="Q85" s="252" t="str">
        <f ca="1">IF(DPAA保額="",IF(總檢核,IF($A85="","",SUM('試算表(16歲-65歲)'!P66:AA66)),""),IF(保費分齡表對應=2,IF(總檢核,IF($A85="","",SUM('試算表(16歲-65歲)'!P66:AA66)),""),""))</f>
        <v/>
      </c>
      <c r="R85" s="252"/>
      <c r="S85" s="252"/>
      <c r="T85" s="250" t="str">
        <f t="shared" ca="1" si="9"/>
        <v/>
      </c>
      <c r="U85" s="250"/>
      <c r="V85" s="250"/>
      <c r="W85" s="250"/>
    </row>
    <row r="86" spans="1:23" hidden="1">
      <c r="A86" s="251" t="str">
        <f ca="1">IF(DPAA保額="",IF(總檢核,'試算表(16歲-65歲)'!A67,""),IF(保費分齡表對應=2,IF(總檢核,'試算表(16歲-65歲)'!A67,""),""))</f>
        <v/>
      </c>
      <c r="B86" s="251"/>
      <c r="C86" s="251"/>
      <c r="D86" s="252" t="str">
        <f ca="1">IF(DPAA保額="",IF(總檢核,IF(A85=分齡表最大顯示年齡,"***以下空白***",IF(A86&lt;=分齡表最大顯示年齡,'試算表(16歲-65歲)'!B67,"")),""),IF(保費分齡表對應=2,IF(總檢核,IF(A85=分齡表最大顯示年齡,"***以下空白***",IF(A86&lt;=分齡表最大顯示年齡,'試算表(16歲-65歲)'!B67,"")),""),""))</f>
        <v/>
      </c>
      <c r="E86" s="252"/>
      <c r="F86" s="252"/>
      <c r="G86" s="250" t="str">
        <f ca="1">IF(DPAA保額="",IF(總檢核,IF($A86="","",SUM('試算表(16歲-65歲)'!C67:N67)),""),IF(保費分齡表對應=2,IF(總檢核,IF($A86="","",SUM('試算表(16歲-65歲)'!C67:N67)),""),""))</f>
        <v/>
      </c>
      <c r="H86" s="250"/>
      <c r="I86" s="250"/>
      <c r="J86" s="250" t="str">
        <f t="shared" ca="1" si="8"/>
        <v/>
      </c>
      <c r="K86" s="250"/>
      <c r="L86" s="250"/>
      <c r="M86" s="250"/>
      <c r="N86" s="252" t="str">
        <f ca="1">IF(DPAA保額="",IF(總檢核,IF(A86="","",'試算表(16歲-65歲)'!O67),""),IF(保費分齡表對應=2,IF(總檢核,IF(A86="","",'試算表(16歲-65歲)'!O67),""),""))</f>
        <v/>
      </c>
      <c r="O86" s="252"/>
      <c r="P86" s="252"/>
      <c r="Q86" s="252" t="str">
        <f ca="1">IF(DPAA保額="",IF(總檢核,IF($A86="","",SUM('試算表(16歲-65歲)'!P67:AA67)),""),IF(保費分齡表對應=2,IF(總檢核,IF($A86="","",SUM('試算表(16歲-65歲)'!P67:AA67)),""),""))</f>
        <v/>
      </c>
      <c r="R86" s="252"/>
      <c r="S86" s="252"/>
      <c r="T86" s="250" t="str">
        <f t="shared" ca="1" si="9"/>
        <v/>
      </c>
      <c r="U86" s="250"/>
      <c r="V86" s="250"/>
      <c r="W86" s="250"/>
    </row>
    <row r="87" spans="1:23" hidden="1">
      <c r="A87" s="251" t="str">
        <f ca="1">IF(DPAA保額="",IF(總檢核,'試算表(16歲-65歲)'!A68,""),IF(保費分齡表對應=2,IF(總檢核,'試算表(16歲-65歲)'!A68,""),""))</f>
        <v/>
      </c>
      <c r="B87" s="251"/>
      <c r="C87" s="251"/>
      <c r="D87" s="252" t="str">
        <f ca="1">IF(DPAA保額="",IF(總檢核,IF(A86=分齡表最大顯示年齡,"***以下空白***",IF(A87&lt;=分齡表最大顯示年齡,'試算表(16歲-65歲)'!B68,"")),""),IF(保費分齡表對應=2,IF(總檢核,IF(A86=分齡表最大顯示年齡,"***以下空白***",IF(A87&lt;=分齡表最大顯示年齡,'試算表(16歲-65歲)'!B68,"")),""),""))</f>
        <v/>
      </c>
      <c r="E87" s="252"/>
      <c r="F87" s="252"/>
      <c r="G87" s="250" t="str">
        <f ca="1">IF(DPAA保額="",IF(總檢核,IF($A87="","",SUM('試算表(16歲-65歲)'!C68:N68)),""),IF(保費分齡表對應=2,IF(總檢核,IF($A87="","",SUM('試算表(16歲-65歲)'!C68:N68)),""),""))</f>
        <v/>
      </c>
      <c r="H87" s="250"/>
      <c r="I87" s="250"/>
      <c r="J87" s="250" t="str">
        <f t="shared" ref="J87:J103" ca="1" si="10">IF(DPAA保額="",IF(總檢核,IF($A87="","",D87+G87),""),IF(保費分齡表對應=2,IF(總檢核,IF($A87="","",D87+G87),""),""))</f>
        <v/>
      </c>
      <c r="K87" s="250"/>
      <c r="L87" s="250"/>
      <c r="M87" s="250"/>
      <c r="N87" s="252" t="str">
        <f ca="1">IF(DPAA保額="",IF(總檢核,IF(A87="","",'試算表(16歲-65歲)'!O68),""),IF(保費分齡表對應=2,IF(總檢核,IF(A87="","",'試算表(16歲-65歲)'!O68),""),""))</f>
        <v/>
      </c>
      <c r="O87" s="252"/>
      <c r="P87" s="252"/>
      <c r="Q87" s="252" t="str">
        <f ca="1">IF(DPAA保額="",IF(總檢核,IF($A87="","",SUM('試算表(16歲-65歲)'!P68:AA68)),""),IF(保費分齡表對應=2,IF(總檢核,IF($A87="","",SUM('試算表(16歲-65歲)'!P68:AA68)),""),""))</f>
        <v/>
      </c>
      <c r="R87" s="252"/>
      <c r="S87" s="252"/>
      <c r="T87" s="250" t="str">
        <f t="shared" ref="T87:T103" ca="1" si="11">IF(DPAA保額="",IF(總檢核,IF($A87="","",N87+Q87),""),IF(保費分齡表對應=2,IF(總檢核,IF($A87="","",N87+Q87),""),""))</f>
        <v/>
      </c>
      <c r="U87" s="250"/>
      <c r="V87" s="250"/>
      <c r="W87" s="250"/>
    </row>
    <row r="88" spans="1:23" hidden="1">
      <c r="A88" s="254" t="str">
        <f ca="1">IF(DPAA保額="",IF(總檢核,'試算表(16歲-65歲)'!A69,""),IF(保費分齡表對應=2,IF(總檢核,'試算表(16歲-65歲)'!A69,""),""))</f>
        <v/>
      </c>
      <c r="B88" s="254"/>
      <c r="C88" s="254"/>
      <c r="D88" s="255" t="str">
        <f ca="1">IF(DPAA保額="",IF(總檢核,IF(A87=分齡表最大顯示年齡,"***以下空白***",IF(A88&lt;=分齡表最大顯示年齡,'試算表(16歲-65歲)'!B69,"")),""),IF(保費分齡表對應=2,IF(總檢核,IF(A87=分齡表最大顯示年齡,"***以下空白***",IF(A88&lt;=分齡表最大顯示年齡,'試算表(16歲-65歲)'!B69,"")),""),""))</f>
        <v/>
      </c>
      <c r="E88" s="255"/>
      <c r="F88" s="255"/>
      <c r="G88" s="253" t="str">
        <f ca="1">IF(DPAA保額="",IF(總檢核,IF($A88="","",SUM('試算表(16歲-65歲)'!C69:N69)),""),IF(保費分齡表對應=2,IF(總檢核,IF($A88="","",SUM('試算表(16歲-65歲)'!C69:N69)),""),""))</f>
        <v/>
      </c>
      <c r="H88" s="253"/>
      <c r="I88" s="253"/>
      <c r="J88" s="253" t="str">
        <f t="shared" ca="1" si="10"/>
        <v/>
      </c>
      <c r="K88" s="253"/>
      <c r="L88" s="253"/>
      <c r="M88" s="253"/>
      <c r="N88" s="255" t="str">
        <f ca="1">IF(DPAA保額="",IF(總檢核,IF(A88="","",'試算表(16歲-65歲)'!O69),""),IF(保費分齡表對應=2,IF(總檢核,IF(A88="","",'試算表(16歲-65歲)'!O69),""),""))</f>
        <v/>
      </c>
      <c r="O88" s="255"/>
      <c r="P88" s="255"/>
      <c r="Q88" s="255" t="str">
        <f ca="1">IF(DPAA保額="",IF(總檢核,IF($A88="","",SUM('試算表(16歲-65歲)'!P69:AA69)),""),IF(保費分齡表對應=2,IF(總檢核,IF($A88="","",SUM('試算表(16歲-65歲)'!P69:AA69)),""),""))</f>
        <v/>
      </c>
      <c r="R88" s="255"/>
      <c r="S88" s="255"/>
      <c r="T88" s="253" t="str">
        <f t="shared" ca="1" si="11"/>
        <v/>
      </c>
      <c r="U88" s="253"/>
      <c r="V88" s="253"/>
      <c r="W88" s="253"/>
    </row>
    <row r="89" spans="1:23" hidden="1">
      <c r="A89" s="251" t="str">
        <f ca="1">IF(DPAA保額="",IF(總檢核,'試算表(16歲-65歲)'!A70,""),IF(保費分齡表對應=2,IF(總檢核,'試算表(16歲-65歲)'!A70,""),""))</f>
        <v/>
      </c>
      <c r="B89" s="251"/>
      <c r="C89" s="251"/>
      <c r="D89" s="252" t="str">
        <f ca="1">IF(DPAA保額="",IF(總檢核,IF(A88=分齡表最大顯示年齡,"***以下空白***",IF(A89&lt;=分齡表最大顯示年齡,'試算表(16歲-65歲)'!B70,"")),""),IF(保費分齡表對應=2,IF(總檢核,IF(A88=分齡表最大顯示年齡,"***以下空白***",IF(A89&lt;=分齡表最大顯示年齡,'試算表(16歲-65歲)'!B70,"")),""),""))</f>
        <v/>
      </c>
      <c r="E89" s="252"/>
      <c r="F89" s="252"/>
      <c r="G89" s="250" t="str">
        <f ca="1">IF(DPAA保額="",IF(總檢核,IF($A89="","",SUM('試算表(16歲-65歲)'!C70:N70)),""),IF(保費分齡表對應=2,IF(總檢核,IF($A89="","",SUM('試算表(16歲-65歲)'!C70:N70)),""),""))</f>
        <v/>
      </c>
      <c r="H89" s="250"/>
      <c r="I89" s="250"/>
      <c r="J89" s="250" t="str">
        <f t="shared" ca="1" si="10"/>
        <v/>
      </c>
      <c r="K89" s="250"/>
      <c r="L89" s="250"/>
      <c r="M89" s="250"/>
      <c r="N89" s="252" t="str">
        <f ca="1">IF(DPAA保額="",IF(總檢核,IF(A89="","",'試算表(16歲-65歲)'!O70),""),IF(保費分齡表對應=2,IF(總檢核,IF(A89="","",'試算表(16歲-65歲)'!O70),""),""))</f>
        <v/>
      </c>
      <c r="O89" s="252"/>
      <c r="P89" s="252"/>
      <c r="Q89" s="252" t="str">
        <f ca="1">IF(DPAA保額="",IF(總檢核,IF($A89="","",SUM('試算表(16歲-65歲)'!P70:AA70)),""),IF(保費分齡表對應=2,IF(總檢核,IF($A89="","",SUM('試算表(16歲-65歲)'!P70:AA70)),""),""))</f>
        <v/>
      </c>
      <c r="R89" s="252"/>
      <c r="S89" s="252"/>
      <c r="T89" s="250" t="str">
        <f t="shared" ca="1" si="11"/>
        <v/>
      </c>
      <c r="U89" s="250"/>
      <c r="V89" s="250"/>
      <c r="W89" s="250"/>
    </row>
    <row r="90" spans="1:23" hidden="1">
      <c r="A90" s="251" t="str">
        <f ca="1">IF(DPAA保額="",IF(總檢核,'試算表(16歲-65歲)'!A71,""),IF(保費分齡表對應=2,IF(總檢核,'試算表(16歲-65歲)'!A71,""),""))</f>
        <v/>
      </c>
      <c r="B90" s="251"/>
      <c r="C90" s="251"/>
      <c r="D90" s="252" t="str">
        <f ca="1">IF(DPAA保額="",IF(總檢核,IF(A89=分齡表最大顯示年齡,"***以下空白***",IF(A90&lt;=分齡表最大顯示年齡,'試算表(16歲-65歲)'!B71,"")),""),IF(保費分齡表對應=2,IF(總檢核,IF(A89=分齡表最大顯示年齡,"***以下空白***",IF(A90&lt;=分齡表最大顯示年齡,'試算表(16歲-65歲)'!B71,"")),""),""))</f>
        <v/>
      </c>
      <c r="E90" s="252"/>
      <c r="F90" s="252"/>
      <c r="G90" s="250" t="str">
        <f ca="1">IF(DPAA保額="",IF(總檢核,IF($A90="","",SUM('試算表(16歲-65歲)'!C71:N71)),""),IF(保費分齡表對應=2,IF(總檢核,IF($A90="","",SUM('試算表(16歲-65歲)'!C71:N71)),""),""))</f>
        <v/>
      </c>
      <c r="H90" s="250"/>
      <c r="I90" s="250"/>
      <c r="J90" s="250" t="str">
        <f t="shared" ca="1" si="10"/>
        <v/>
      </c>
      <c r="K90" s="250"/>
      <c r="L90" s="250"/>
      <c r="M90" s="250"/>
      <c r="N90" s="252" t="str">
        <f ca="1">IF(DPAA保額="",IF(總檢核,IF(A90="","",'試算表(16歲-65歲)'!O71),""),IF(保費分齡表對應=2,IF(總檢核,IF(A90="","",'試算表(16歲-65歲)'!O71),""),""))</f>
        <v/>
      </c>
      <c r="O90" s="252"/>
      <c r="P90" s="252"/>
      <c r="Q90" s="252" t="str">
        <f ca="1">IF(DPAA保額="",IF(總檢核,IF($A90="","",SUM('試算表(16歲-65歲)'!P71:AA71)),""),IF(保費分齡表對應=2,IF(總檢核,IF($A90="","",SUM('試算表(16歲-65歲)'!P71:AA71)),""),""))</f>
        <v/>
      </c>
      <c r="R90" s="252"/>
      <c r="S90" s="252"/>
      <c r="T90" s="250" t="str">
        <f t="shared" ca="1" si="11"/>
        <v/>
      </c>
      <c r="U90" s="250"/>
      <c r="V90" s="250"/>
      <c r="W90" s="250"/>
    </row>
    <row r="91" spans="1:23" hidden="1">
      <c r="A91" s="251" t="str">
        <f ca="1">IF(DPAA保額="",IF(總檢核,'試算表(16歲-65歲)'!A72,""),IF(保費分齡表對應=2,IF(總檢核,'試算表(16歲-65歲)'!A72,""),""))</f>
        <v/>
      </c>
      <c r="B91" s="251"/>
      <c r="C91" s="251"/>
      <c r="D91" s="252" t="str">
        <f ca="1">IF(DPAA保額="",IF(總檢核,IF(A90=分齡表最大顯示年齡,"***以下空白***",IF(A91&lt;=分齡表最大顯示年齡,'試算表(16歲-65歲)'!B72,"")),""),IF(保費分齡表對應=2,IF(總檢核,IF(A90=分齡表最大顯示年齡,"***以下空白***",IF(A91&lt;=分齡表最大顯示年齡,'試算表(16歲-65歲)'!B72,"")),""),""))</f>
        <v/>
      </c>
      <c r="E91" s="252"/>
      <c r="F91" s="252"/>
      <c r="G91" s="250" t="str">
        <f ca="1">IF(DPAA保額="",IF(總檢核,IF($A91="","",SUM('試算表(16歲-65歲)'!C72:N72)),""),IF(保費分齡表對應=2,IF(總檢核,IF($A91="","",SUM('試算表(16歲-65歲)'!C72:N72)),""),""))</f>
        <v/>
      </c>
      <c r="H91" s="250"/>
      <c r="I91" s="250"/>
      <c r="J91" s="250" t="str">
        <f t="shared" ca="1" si="10"/>
        <v/>
      </c>
      <c r="K91" s="250"/>
      <c r="L91" s="250"/>
      <c r="M91" s="250"/>
      <c r="N91" s="252" t="str">
        <f ca="1">IF(DPAA保額="",IF(總檢核,IF(A91="","",'試算表(16歲-65歲)'!O72),""),IF(保費分齡表對應=2,IF(總檢核,IF(A91="","",'試算表(16歲-65歲)'!O72),""),""))</f>
        <v/>
      </c>
      <c r="O91" s="252"/>
      <c r="P91" s="252"/>
      <c r="Q91" s="252" t="str">
        <f ca="1">IF(DPAA保額="",IF(總檢核,IF($A91="","",SUM('試算表(16歲-65歲)'!P72:AA72)),""),IF(保費分齡表對應=2,IF(總檢核,IF($A91="","",SUM('試算表(16歲-65歲)'!P72:AA72)),""),""))</f>
        <v/>
      </c>
      <c r="R91" s="252"/>
      <c r="S91" s="252"/>
      <c r="T91" s="250" t="str">
        <f t="shared" ca="1" si="11"/>
        <v/>
      </c>
      <c r="U91" s="250"/>
      <c r="V91" s="250"/>
      <c r="W91" s="250"/>
    </row>
    <row r="92" spans="1:23" hidden="1">
      <c r="A92" s="251" t="str">
        <f ca="1">IF(DPAA保額="",IF(總檢核,'試算表(16歲-65歲)'!A73,""),IF(保費分齡表對應=2,IF(總檢核,'試算表(16歲-65歲)'!A73,""),""))</f>
        <v/>
      </c>
      <c r="B92" s="251"/>
      <c r="C92" s="251"/>
      <c r="D92" s="252" t="str">
        <f ca="1">IF(DPAA保額="",IF(總檢核,IF(A91=分齡表最大顯示年齡,"***以下空白***",IF(A92&lt;=分齡表最大顯示年齡,'試算表(16歲-65歲)'!B73,"")),""),IF(保費分齡表對應=2,IF(總檢核,IF(A91=分齡表最大顯示年齡,"***以下空白***",IF(A92&lt;=分齡表最大顯示年齡,'試算表(16歲-65歲)'!B73,"")),""),""))</f>
        <v/>
      </c>
      <c r="E92" s="252"/>
      <c r="F92" s="252"/>
      <c r="G92" s="250" t="str">
        <f ca="1">IF(DPAA保額="",IF(總檢核,IF($A92="","",SUM('試算表(16歲-65歲)'!C73:N73)),""),IF(保費分齡表對應=2,IF(總檢核,IF($A92="","",SUM('試算表(16歲-65歲)'!C73:N73)),""),""))</f>
        <v/>
      </c>
      <c r="H92" s="250"/>
      <c r="I92" s="250"/>
      <c r="J92" s="250" t="str">
        <f t="shared" ca="1" si="10"/>
        <v/>
      </c>
      <c r="K92" s="250"/>
      <c r="L92" s="250"/>
      <c r="M92" s="250"/>
      <c r="N92" s="252" t="str">
        <f ca="1">IF(DPAA保額="",IF(總檢核,IF(A92="","",'試算表(16歲-65歲)'!O73),""),IF(保費分齡表對應=2,IF(總檢核,IF(A92="","",'試算表(16歲-65歲)'!O73),""),""))</f>
        <v/>
      </c>
      <c r="O92" s="252"/>
      <c r="P92" s="252"/>
      <c r="Q92" s="252" t="str">
        <f ca="1">IF(DPAA保額="",IF(總檢核,IF($A92="","",SUM('試算表(16歲-65歲)'!P73:AA73)),""),IF(保費分齡表對應=2,IF(總檢核,IF($A92="","",SUM('試算表(16歲-65歲)'!P73:AA73)),""),""))</f>
        <v/>
      </c>
      <c r="R92" s="252"/>
      <c r="S92" s="252"/>
      <c r="T92" s="250" t="str">
        <f t="shared" ca="1" si="11"/>
        <v/>
      </c>
      <c r="U92" s="250"/>
      <c r="V92" s="250"/>
      <c r="W92" s="250"/>
    </row>
    <row r="93" spans="1:23" hidden="1">
      <c r="A93" s="254" t="str">
        <f ca="1">IF(DPAA保額="",IF(總檢核,'試算表(16歲-65歲)'!A74,""),IF(保費分齡表對應=2,IF(總檢核,'試算表(16歲-65歲)'!A74,""),""))</f>
        <v/>
      </c>
      <c r="B93" s="254"/>
      <c r="C93" s="254"/>
      <c r="D93" s="255" t="str">
        <f ca="1">IF(DPAA保額="",IF(總檢核,IF(A92=分齡表最大顯示年齡,"***以下空白***",IF(A93&lt;=分齡表最大顯示年齡,'試算表(16歲-65歲)'!B74,"")),""),IF(保費分齡表對應=2,IF(總檢核,IF(A92=分齡表最大顯示年齡,"***以下空白***",IF(A93&lt;=分齡表最大顯示年齡,'試算表(16歲-65歲)'!B74,"")),""),""))</f>
        <v/>
      </c>
      <c r="E93" s="255"/>
      <c r="F93" s="255"/>
      <c r="G93" s="253" t="str">
        <f ca="1">IF(DPAA保額="",IF(總檢核,IF($A93="","",SUM('試算表(16歲-65歲)'!C74:N74)),""),IF(保費分齡表對應=2,IF(總檢核,IF($A93="","",SUM('試算表(16歲-65歲)'!C74:N74)),""),""))</f>
        <v/>
      </c>
      <c r="H93" s="253"/>
      <c r="I93" s="253"/>
      <c r="J93" s="253" t="str">
        <f t="shared" ca="1" si="10"/>
        <v/>
      </c>
      <c r="K93" s="253"/>
      <c r="L93" s="253"/>
      <c r="M93" s="253"/>
      <c r="N93" s="255" t="str">
        <f ca="1">IF(DPAA保額="",IF(總檢核,IF(A93="","",'試算表(16歲-65歲)'!O74),""),IF(保費分齡表對應=2,IF(總檢核,IF(A93="","",'試算表(16歲-65歲)'!O74),""),""))</f>
        <v/>
      </c>
      <c r="O93" s="255"/>
      <c r="P93" s="255"/>
      <c r="Q93" s="255" t="str">
        <f ca="1">IF(DPAA保額="",IF(總檢核,IF($A93="","",SUM('試算表(16歲-65歲)'!P74:AA74)),""),IF(保費分齡表對應=2,IF(總檢核,IF($A93="","",SUM('試算表(16歲-65歲)'!P74:AA74)),""),""))</f>
        <v/>
      </c>
      <c r="R93" s="255"/>
      <c r="S93" s="255"/>
      <c r="T93" s="253" t="str">
        <f t="shared" ca="1" si="11"/>
        <v/>
      </c>
      <c r="U93" s="253"/>
      <c r="V93" s="253"/>
      <c r="W93" s="253"/>
    </row>
    <row r="94" spans="1:23" hidden="1">
      <c r="A94" s="251" t="str">
        <f ca="1">IF(DPAA保額="",IF(總檢核,'試算表(16歲-65歲)'!A75,""),IF(保費分齡表對應=2,IF(總檢核,'試算表(16歲-65歲)'!A75,""),""))</f>
        <v/>
      </c>
      <c r="B94" s="251"/>
      <c r="C94" s="251"/>
      <c r="D94" s="252" t="str">
        <f ca="1">IF(DPAA保額="",IF(總檢核,IF(A93=分齡表最大顯示年齡,"***以下空白***",IF(A94&lt;=分齡表最大顯示年齡,'試算表(16歲-65歲)'!B75,"")),""),IF(保費分齡表對應=2,IF(總檢核,IF(A93=分齡表最大顯示年齡,"***以下空白***",IF(A94&lt;=分齡表最大顯示年齡,'試算表(16歲-65歲)'!B75,"")),""),""))</f>
        <v/>
      </c>
      <c r="E94" s="252"/>
      <c r="F94" s="252"/>
      <c r="G94" s="250" t="str">
        <f ca="1">IF(DPAA保額="",IF(總檢核,IF($A94="","",SUM('試算表(16歲-65歲)'!C75:N75)),""),IF(保費分齡表對應=2,IF(總檢核,IF($A94="","",SUM('試算表(16歲-65歲)'!C75:N75)),""),""))</f>
        <v/>
      </c>
      <c r="H94" s="250"/>
      <c r="I94" s="250"/>
      <c r="J94" s="250" t="str">
        <f t="shared" ca="1" si="10"/>
        <v/>
      </c>
      <c r="K94" s="250"/>
      <c r="L94" s="250"/>
      <c r="M94" s="250"/>
      <c r="N94" s="252" t="str">
        <f ca="1">IF(DPAA保額="",IF(總檢核,IF(A94="","",'試算表(16歲-65歲)'!O75),""),IF(保費分齡表對應=2,IF(總檢核,IF(A94="","",'試算表(16歲-65歲)'!O75),""),""))</f>
        <v/>
      </c>
      <c r="O94" s="252"/>
      <c r="P94" s="252"/>
      <c r="Q94" s="252" t="str">
        <f ca="1">IF(DPAA保額="",IF(總檢核,IF($A94="","",SUM('試算表(16歲-65歲)'!P75:AA75)),""),IF(保費分齡表對應=2,IF(總檢核,IF($A94="","",SUM('試算表(16歲-65歲)'!P75:AA75)),""),""))</f>
        <v/>
      </c>
      <c r="R94" s="252"/>
      <c r="S94" s="252"/>
      <c r="T94" s="250" t="str">
        <f t="shared" ca="1" si="11"/>
        <v/>
      </c>
      <c r="U94" s="250"/>
      <c r="V94" s="250"/>
      <c r="W94" s="250"/>
    </row>
    <row r="95" spans="1:23" hidden="1">
      <c r="A95" s="251" t="str">
        <f ca="1">IF(DPAA保額="",IF(總檢核,'試算表(16歲-65歲)'!A76,""),IF(保費分齡表對應=2,IF(總檢核,'試算表(16歲-65歲)'!A76,""),""))</f>
        <v/>
      </c>
      <c r="B95" s="251"/>
      <c r="C95" s="251"/>
      <c r="D95" s="252" t="str">
        <f ca="1">IF(DPAA保額="",IF(總檢核,IF(A94=分齡表最大顯示年齡,"***以下空白***",IF(A95&lt;=分齡表最大顯示年齡,'試算表(16歲-65歲)'!B76,"")),""),IF(保費分齡表對應=2,IF(總檢核,IF(A94=分齡表最大顯示年齡,"***以下空白***",IF(A95&lt;=分齡表最大顯示年齡,'試算表(16歲-65歲)'!B76,"")),""),""))</f>
        <v/>
      </c>
      <c r="E95" s="252"/>
      <c r="F95" s="252"/>
      <c r="G95" s="250" t="str">
        <f ca="1">IF(DPAA保額="",IF(總檢核,IF($A95="","",SUM('試算表(16歲-65歲)'!C76:N76)),""),IF(保費分齡表對應=2,IF(總檢核,IF($A95="","",SUM('試算表(16歲-65歲)'!C76:N76)),""),""))</f>
        <v/>
      </c>
      <c r="H95" s="250"/>
      <c r="I95" s="250"/>
      <c r="J95" s="250" t="str">
        <f t="shared" ca="1" si="10"/>
        <v/>
      </c>
      <c r="K95" s="250"/>
      <c r="L95" s="250"/>
      <c r="M95" s="250"/>
      <c r="N95" s="252" t="str">
        <f ca="1">IF(DPAA保額="",IF(總檢核,IF(A95="","",'試算表(16歲-65歲)'!O76),""),IF(保費分齡表對應=2,IF(總檢核,IF(A95="","",'試算表(16歲-65歲)'!O76),""),""))</f>
        <v/>
      </c>
      <c r="O95" s="252"/>
      <c r="P95" s="252"/>
      <c r="Q95" s="252" t="str">
        <f ca="1">IF(DPAA保額="",IF(總檢核,IF($A95="","",SUM('試算表(16歲-65歲)'!P76:AA76)),""),IF(保費分齡表對應=2,IF(總檢核,IF($A95="","",SUM('試算表(16歲-65歲)'!P76:AA76)),""),""))</f>
        <v/>
      </c>
      <c r="R95" s="252"/>
      <c r="S95" s="252"/>
      <c r="T95" s="250" t="str">
        <f t="shared" ca="1" si="11"/>
        <v/>
      </c>
      <c r="U95" s="250"/>
      <c r="V95" s="250"/>
      <c r="W95" s="250"/>
    </row>
    <row r="96" spans="1:23" hidden="1">
      <c r="A96" s="251" t="str">
        <f ca="1">IF(DPAA保額="",IF(總檢核,'試算表(16歲-65歲)'!A77,""),IF(保費分齡表對應=2,IF(總檢核,'試算表(16歲-65歲)'!A77,""),""))</f>
        <v/>
      </c>
      <c r="B96" s="251"/>
      <c r="C96" s="251"/>
      <c r="D96" s="252" t="str">
        <f ca="1">IF(DPAA保額="",IF(總檢核,IF(A95=分齡表最大顯示年齡,"***以下空白***",IF(A96&lt;=分齡表最大顯示年齡,'試算表(16歲-65歲)'!B77,"")),""),IF(保費分齡表對應=2,IF(總檢核,IF(A95=分齡表最大顯示年齡,"***以下空白***",IF(A96&lt;=分齡表最大顯示年齡,'試算表(16歲-65歲)'!B77,"")),""),""))</f>
        <v/>
      </c>
      <c r="E96" s="252"/>
      <c r="F96" s="252"/>
      <c r="G96" s="250" t="str">
        <f ca="1">IF(DPAA保額="",IF(總檢核,IF($A96="","",SUM('試算表(16歲-65歲)'!C77:N77)),""),IF(保費分齡表對應=2,IF(總檢核,IF($A96="","",SUM('試算表(16歲-65歲)'!C77:N77)),""),""))</f>
        <v/>
      </c>
      <c r="H96" s="250"/>
      <c r="I96" s="250"/>
      <c r="J96" s="250" t="str">
        <f t="shared" ca="1" si="10"/>
        <v/>
      </c>
      <c r="K96" s="250"/>
      <c r="L96" s="250"/>
      <c r="M96" s="250"/>
      <c r="N96" s="252" t="str">
        <f ca="1">IF(DPAA保額="",IF(總檢核,IF(A96="","",'試算表(16歲-65歲)'!O77),""),IF(保費分齡表對應=2,IF(總檢核,IF(A96="","",'試算表(16歲-65歲)'!O77),""),""))</f>
        <v/>
      </c>
      <c r="O96" s="252"/>
      <c r="P96" s="252"/>
      <c r="Q96" s="252" t="str">
        <f ca="1">IF(DPAA保額="",IF(總檢核,IF($A96="","",SUM('試算表(16歲-65歲)'!P77:AA77)),""),IF(保費分齡表對應=2,IF(總檢核,IF($A96="","",SUM('試算表(16歲-65歲)'!P77:AA77)),""),""))</f>
        <v/>
      </c>
      <c r="R96" s="252"/>
      <c r="S96" s="252"/>
      <c r="T96" s="250" t="str">
        <f t="shared" ca="1" si="11"/>
        <v/>
      </c>
      <c r="U96" s="250"/>
      <c r="V96" s="250"/>
      <c r="W96" s="250"/>
    </row>
    <row r="97" spans="1:23" hidden="1">
      <c r="A97" s="251" t="str">
        <f ca="1">IF(DPAA保額="",IF(總檢核,'試算表(16歲-65歲)'!A78,""),IF(保費分齡表對應=2,IF(總檢核,'試算表(16歲-65歲)'!A78,""),""))</f>
        <v/>
      </c>
      <c r="B97" s="251"/>
      <c r="C97" s="251"/>
      <c r="D97" s="252" t="str">
        <f ca="1">IF(DPAA保額="",IF(總檢核,IF(A96=分齡表最大顯示年齡,"***以下空白***",IF(A97&lt;=分齡表最大顯示年齡,'試算表(16歲-65歲)'!B78,"")),""),IF(保費分齡表對應=2,IF(總檢核,IF(A96=分齡表最大顯示年齡,"***以下空白***",IF(A97&lt;=分齡表最大顯示年齡,'試算表(16歲-65歲)'!B78,"")),""),""))</f>
        <v/>
      </c>
      <c r="E97" s="252"/>
      <c r="F97" s="252"/>
      <c r="G97" s="250" t="str">
        <f ca="1">IF(DPAA保額="",IF(總檢核,IF($A97="","",SUM('試算表(16歲-65歲)'!C78:N78)),""),IF(保費分齡表對應=2,IF(總檢核,IF($A97="","",SUM('試算表(16歲-65歲)'!C78:N78)),""),""))</f>
        <v/>
      </c>
      <c r="H97" s="250"/>
      <c r="I97" s="250"/>
      <c r="J97" s="250" t="str">
        <f t="shared" ca="1" si="10"/>
        <v/>
      </c>
      <c r="K97" s="250"/>
      <c r="L97" s="250"/>
      <c r="M97" s="250"/>
      <c r="N97" s="252" t="str">
        <f ca="1">IF(DPAA保額="",IF(總檢核,IF(A97="","",'試算表(16歲-65歲)'!O78),""),IF(保費分齡表對應=2,IF(總檢核,IF(A97="","",'試算表(16歲-65歲)'!O78),""),""))</f>
        <v/>
      </c>
      <c r="O97" s="252"/>
      <c r="P97" s="252"/>
      <c r="Q97" s="252" t="str">
        <f ca="1">IF(DPAA保額="",IF(總檢核,IF($A97="","",SUM('試算表(16歲-65歲)'!P78:AA78)),""),IF(保費分齡表對應=2,IF(總檢核,IF($A97="","",SUM('試算表(16歲-65歲)'!P78:AA78)),""),""))</f>
        <v/>
      </c>
      <c r="R97" s="252"/>
      <c r="S97" s="252"/>
      <c r="T97" s="250" t="str">
        <f t="shared" ca="1" si="11"/>
        <v/>
      </c>
      <c r="U97" s="250"/>
      <c r="V97" s="250"/>
      <c r="W97" s="250"/>
    </row>
    <row r="98" spans="1:23" hidden="1">
      <c r="A98" s="254" t="str">
        <f ca="1">IF(DPAA保額="",IF(總檢核,'試算表(16歲-65歲)'!A79,""),IF(保費分齡表對應=2,IF(總檢核,'試算表(16歲-65歲)'!A79,""),""))</f>
        <v/>
      </c>
      <c r="B98" s="254"/>
      <c r="C98" s="254"/>
      <c r="D98" s="255" t="str">
        <f ca="1">IF(DPAA保額="",IF(總檢核,IF(A97=分齡表最大顯示年齡,"***以下空白***",IF(A98&lt;=分齡表最大顯示年齡,'試算表(16歲-65歲)'!B79,"")),""),IF(保費分齡表對應=2,IF(總檢核,IF(A97=分齡表最大顯示年齡,"***以下空白***",IF(A98&lt;=分齡表最大顯示年齡,'試算表(16歲-65歲)'!B79,"")),""),""))</f>
        <v/>
      </c>
      <c r="E98" s="255"/>
      <c r="F98" s="255"/>
      <c r="G98" s="253" t="str">
        <f ca="1">IF(DPAA保額="",IF(總檢核,IF($A98="","",SUM('試算表(16歲-65歲)'!C79:N79)),""),IF(保費分齡表對應=2,IF(總檢核,IF($A98="","",SUM('試算表(16歲-65歲)'!C79:N79)),""),""))</f>
        <v/>
      </c>
      <c r="H98" s="253"/>
      <c r="I98" s="253"/>
      <c r="J98" s="253" t="str">
        <f t="shared" ca="1" si="10"/>
        <v/>
      </c>
      <c r="K98" s="253"/>
      <c r="L98" s="253"/>
      <c r="M98" s="253"/>
      <c r="N98" s="255" t="str">
        <f ca="1">IF(DPAA保額="",IF(總檢核,IF(A98="","",'試算表(16歲-65歲)'!O79),""),IF(保費分齡表對應=2,IF(總檢核,IF(A98="","",'試算表(16歲-65歲)'!O79),""),""))</f>
        <v/>
      </c>
      <c r="O98" s="255"/>
      <c r="P98" s="255"/>
      <c r="Q98" s="256" t="str">
        <f ca="1">IF(DPAA保額="",IF(總檢核,IF($A98="","",SUM('試算表(16歲-65歲)'!P79:AA79)),""),IF(保費分齡表對應=2,IF(總檢核,IF($A98="","",SUM('試算表(16歲-65歲)'!P79:AA79)),""),""))</f>
        <v/>
      </c>
      <c r="R98" s="256"/>
      <c r="S98" s="256"/>
      <c r="T98" s="253" t="str">
        <f t="shared" ca="1" si="11"/>
        <v/>
      </c>
      <c r="U98" s="253"/>
      <c r="V98" s="253"/>
      <c r="W98" s="253"/>
    </row>
    <row r="99" spans="1:23" hidden="1">
      <c r="A99" s="251" t="str">
        <f ca="1">IF(DPAA保額="",IF(總檢核,'試算表(16歲-65歲)'!A80,""),IF(保費分齡表對應=2,IF(總檢核,'試算表(16歲-65歲)'!A80,""),""))</f>
        <v/>
      </c>
      <c r="B99" s="251"/>
      <c r="C99" s="251"/>
      <c r="D99" s="252" t="str">
        <f ca="1">IF(DPAA保額="",IF(總檢核,IF(A98=分齡表最大顯示年齡,"***以下空白***",IF(A99&lt;=分齡表最大顯示年齡,'試算表(16歲-65歲)'!B80,"")),""),IF(保費分齡表對應=2,IF(總檢核,IF(A98=分齡表最大顯示年齡,"***以下空白***",IF(A99&lt;=分齡表最大顯示年齡,'試算表(16歲-65歲)'!B80,"")),""),""))</f>
        <v/>
      </c>
      <c r="E99" s="252"/>
      <c r="F99" s="252"/>
      <c r="G99" s="250" t="str">
        <f ca="1">IF(DPAA保額="",IF(總檢核,IF($A99="","",SUM('試算表(16歲-65歲)'!C80:N80)),""),IF(保費分齡表對應=2,IF(總檢核,IF($A99="","",SUM('試算表(16歲-65歲)'!C80:N80)),""),""))</f>
        <v/>
      </c>
      <c r="H99" s="250"/>
      <c r="I99" s="250"/>
      <c r="J99" s="250" t="str">
        <f t="shared" ca="1" si="10"/>
        <v/>
      </c>
      <c r="K99" s="250"/>
      <c r="L99" s="250"/>
      <c r="M99" s="250"/>
      <c r="N99" s="252" t="str">
        <f ca="1">IF(DPAA保額="",IF(總檢核,IF(A99="","",'試算表(16歲-65歲)'!O80),""),IF(保費分齡表對應=2,IF(總檢核,IF(A99="","",'試算表(16歲-65歲)'!O80),""),""))</f>
        <v/>
      </c>
      <c r="O99" s="252"/>
      <c r="P99" s="252"/>
      <c r="Q99" s="252" t="str">
        <f ca="1">IF(DPAA保額="",IF(總檢核,IF($A99="","",SUM('試算表(16歲-65歲)'!P80:AA80)),""),IF(保費分齡表對應=2,IF(總檢核,IF($A99="","",SUM('試算表(16歲-65歲)'!P80:AA80)),""),""))</f>
        <v/>
      </c>
      <c r="R99" s="252"/>
      <c r="S99" s="252"/>
      <c r="T99" s="250" t="str">
        <f t="shared" ca="1" si="11"/>
        <v/>
      </c>
      <c r="U99" s="250"/>
      <c r="V99" s="250"/>
      <c r="W99" s="250"/>
    </row>
    <row r="100" spans="1:23" hidden="1">
      <c r="A100" s="251" t="str">
        <f ca="1">IF(DPAA保額="",IF(總檢核,'試算表(16歲-65歲)'!A81,""),IF(保費分齡表對應=2,IF(總檢核,'試算表(16歲-65歲)'!A81,""),""))</f>
        <v/>
      </c>
      <c r="B100" s="251"/>
      <c r="C100" s="251"/>
      <c r="D100" s="252" t="str">
        <f ca="1">IF(DPAA保額="",IF(總檢核,IF(A99=分齡表最大顯示年齡,"***以下空白***",IF(A100&lt;=分齡表最大顯示年齡,'試算表(16歲-65歲)'!B81,"")),""),IF(保費分齡表對應=2,IF(總檢核,IF(A99=分齡表最大顯示年齡,"***以下空白***",IF(A100&lt;=分齡表最大顯示年齡,'試算表(16歲-65歲)'!B81,"")),""),""))</f>
        <v/>
      </c>
      <c r="E100" s="252"/>
      <c r="F100" s="252"/>
      <c r="G100" s="250" t="str">
        <f ca="1">IF(DPAA保額="",IF(總檢核,IF($A100="","",SUM('試算表(16歲-65歲)'!C81:N81)),""),IF(保費分齡表對應=2,IF(總檢核,IF($A100="","",SUM('試算表(16歲-65歲)'!C81:N81)),""),""))</f>
        <v/>
      </c>
      <c r="H100" s="250"/>
      <c r="I100" s="250"/>
      <c r="J100" s="250" t="str">
        <f t="shared" ca="1" si="10"/>
        <v/>
      </c>
      <c r="K100" s="250"/>
      <c r="L100" s="250"/>
      <c r="M100" s="250"/>
      <c r="N100" s="252" t="str">
        <f ca="1">IF(DPAA保額="",IF(總檢核,IF(A100="","",'試算表(16歲-65歲)'!O81),""),IF(保費分齡表對應=2,IF(總檢核,IF(A100="","",'試算表(16歲-65歲)'!O81),""),""))</f>
        <v/>
      </c>
      <c r="O100" s="252"/>
      <c r="P100" s="252"/>
      <c r="Q100" s="252" t="str">
        <f ca="1">IF(DPAA保額="",IF(總檢核,IF($A100="","",SUM('試算表(16歲-65歲)'!P81:AA81)),""),IF(保費分齡表對應=2,IF(總檢核,IF($A100="","",SUM('試算表(16歲-65歲)'!P81:AA81)),""),""))</f>
        <v/>
      </c>
      <c r="R100" s="252"/>
      <c r="S100" s="252"/>
      <c r="T100" s="250" t="str">
        <f t="shared" ca="1" si="11"/>
        <v/>
      </c>
      <c r="U100" s="250"/>
      <c r="V100" s="250"/>
      <c r="W100" s="250"/>
    </row>
    <row r="101" spans="1:23" hidden="1">
      <c r="A101" s="251" t="str">
        <f ca="1">IF(DPAA保額="",IF(總檢核,'試算表(16歲-65歲)'!A82,""),IF(保費分齡表對應=2,IF(總檢核,'試算表(16歲-65歲)'!A82,""),""))</f>
        <v/>
      </c>
      <c r="B101" s="251"/>
      <c r="C101" s="251"/>
      <c r="D101" s="252" t="str">
        <f ca="1">IF(DPAA保額="",IF(總檢核,IF(A100=分齡表最大顯示年齡,"***以下空白***",IF(A101&lt;=分齡表最大顯示年齡,'試算表(16歲-65歲)'!B82,"")),""),IF(保費分齡表對應=2,IF(總檢核,IF(A100=分齡表最大顯示年齡,"***以下空白***",IF(A101&lt;=分齡表最大顯示年齡,'試算表(16歲-65歲)'!B82,"")),""),""))</f>
        <v/>
      </c>
      <c r="E101" s="252"/>
      <c r="F101" s="252"/>
      <c r="G101" s="250" t="str">
        <f ca="1">IF(DPAA保額="",IF(總檢核,IF($A101="","",SUM('試算表(16歲-65歲)'!C82:N82)),""),IF(保費分齡表對應=2,IF(總檢核,IF($A101="","",SUM('試算表(16歲-65歲)'!C82:N82)),""),""))</f>
        <v/>
      </c>
      <c r="H101" s="250"/>
      <c r="I101" s="250"/>
      <c r="J101" s="250" t="str">
        <f t="shared" ca="1" si="10"/>
        <v/>
      </c>
      <c r="K101" s="250"/>
      <c r="L101" s="250"/>
      <c r="M101" s="250"/>
      <c r="N101" s="252" t="str">
        <f ca="1">IF(DPAA保額="",IF(總檢核,IF(A101="","",'試算表(16歲-65歲)'!O82),""),IF(保費分齡表對應=2,IF(總檢核,IF(A101="","",'試算表(16歲-65歲)'!O82),""),""))</f>
        <v/>
      </c>
      <c r="O101" s="252"/>
      <c r="P101" s="252"/>
      <c r="Q101" s="252" t="str">
        <f ca="1">IF(DPAA保額="",IF(總檢核,IF($A101="","",SUM('試算表(16歲-65歲)'!P82:AA82)),""),IF(保費分齡表對應=2,IF(總檢核,IF($A101="","",SUM('試算表(16歲-65歲)'!P82:AA82)),""),""))</f>
        <v/>
      </c>
      <c r="R101" s="252"/>
      <c r="S101" s="252"/>
      <c r="T101" s="250" t="str">
        <f t="shared" ca="1" si="11"/>
        <v/>
      </c>
      <c r="U101" s="250"/>
      <c r="V101" s="250"/>
      <c r="W101" s="250"/>
    </row>
    <row r="102" spans="1:23" hidden="1">
      <c r="A102" s="251" t="str">
        <f ca="1">IF(DPAA保額="",IF(總檢核,'試算表(16歲-65歲)'!A83,""),IF(保費分齡表對應=2,IF(總檢核,'試算表(16歲-65歲)'!A83,""),""))</f>
        <v/>
      </c>
      <c r="B102" s="251"/>
      <c r="C102" s="251"/>
      <c r="D102" s="252" t="str">
        <f ca="1">IF(DPAA保額="",IF(總檢核,IF(A101=分齡表最大顯示年齡,"***以下空白***",IF(A102&lt;=分齡表最大顯示年齡,'試算表(16歲-65歲)'!B83,"")),""),IF(保費分齡表對應=2,IF(總檢核,IF(A101=分齡表最大顯示年齡,"***以下空白***",IF(A102&lt;=分齡表最大顯示年齡,'試算表(16歲-65歲)'!B83,"")),""),""))</f>
        <v/>
      </c>
      <c r="E102" s="252"/>
      <c r="F102" s="252"/>
      <c r="G102" s="250" t="str">
        <f ca="1">IF(DPAA保額="",IF(總檢核,IF($A102="","",SUM('試算表(16歲-65歲)'!C83:N83)),""),IF(保費分齡表對應=2,IF(總檢核,IF($A102="","",SUM('試算表(16歲-65歲)'!C83:N83)),""),""))</f>
        <v/>
      </c>
      <c r="H102" s="250"/>
      <c r="I102" s="250"/>
      <c r="J102" s="250" t="str">
        <f t="shared" ca="1" si="10"/>
        <v/>
      </c>
      <c r="K102" s="250"/>
      <c r="L102" s="250"/>
      <c r="M102" s="250"/>
      <c r="N102" s="252" t="str">
        <f ca="1">IF(DPAA保額="",IF(總檢核,IF(A102="","",'試算表(16歲-65歲)'!O83),""),IF(保費分齡表對應=2,IF(總檢核,IF(A102="","",'試算表(16歲-65歲)'!O83),""),""))</f>
        <v/>
      </c>
      <c r="O102" s="252"/>
      <c r="P102" s="252"/>
      <c r="Q102" s="252" t="str">
        <f ca="1">IF(DPAA保額="",IF(總檢核,IF($A102="","",SUM('試算表(16歲-65歲)'!P83:AA83)),""),IF(保費分齡表對應=2,IF(總檢核,IF($A102="","",SUM('試算表(16歲-65歲)'!P83:AA83)),""),""))</f>
        <v/>
      </c>
      <c r="R102" s="252"/>
      <c r="S102" s="252"/>
      <c r="T102" s="250" t="str">
        <f t="shared" ca="1" si="11"/>
        <v/>
      </c>
      <c r="U102" s="250"/>
      <c r="V102" s="250"/>
      <c r="W102" s="250"/>
    </row>
    <row r="103" spans="1:23" ht="16" hidden="1" thickBot="1">
      <c r="A103" s="259" t="str">
        <f ca="1">IF(DPAA保額="",IF(總檢核,'試算表(16歲-65歲)'!A84,""),IF(保費分齡表對應=2,IF(總檢核,'試算表(16歲-65歲)'!A84,""),""))</f>
        <v/>
      </c>
      <c r="B103" s="259"/>
      <c r="C103" s="259"/>
      <c r="D103" s="260" t="str">
        <f ca="1">IF(DPAA保額="",IF(總檢核,IF(A102=分齡表最大顯示年齡,"***以下空白***",IF(A103&lt;=分齡表最大顯示年齡,'試算表(16歲-65歲)'!B84,"")),""),IF(保費分齡表對應=2,IF(總檢核,IF(A102=分齡表最大顯示年齡,"***以下空白***",IF(A103&lt;=分齡表最大顯示年齡,'試算表(16歲-65歲)'!B84,"")),""),""))</f>
        <v/>
      </c>
      <c r="E103" s="260"/>
      <c r="F103" s="260"/>
      <c r="G103" s="257" t="str">
        <f ca="1">IF(DPAA保額="",IF(總檢核,IF($A103="","",SUM('試算表(16歲-65歲)'!C84:N84)),""),IF(保費分齡表對應=2,IF(總檢核,IF($A103="","",SUM('試算表(16歲-65歲)'!C84:N84)),""),""))</f>
        <v/>
      </c>
      <c r="H103" s="257"/>
      <c r="I103" s="257"/>
      <c r="J103" s="257" t="str">
        <f t="shared" ca="1" si="10"/>
        <v/>
      </c>
      <c r="K103" s="257"/>
      <c r="L103" s="257"/>
      <c r="M103" s="257"/>
      <c r="N103" s="260" t="str">
        <f ca="1">IF(DPAA保額="",IF(總檢核,IF(A103="","",'試算表(16歲-65歲)'!O84),""),IF(保費分齡表對應=2,IF(總檢核,IF(A103="","",'試算表(16歲-65歲)'!O84),""),""))</f>
        <v/>
      </c>
      <c r="O103" s="260"/>
      <c r="P103" s="260"/>
      <c r="Q103" s="260" t="str">
        <f ca="1">IF(DPAA保額="",IF(總檢核,IF($A103="","",SUM('試算表(16歲-65歲)'!P84:AA84)),""),IF(保費分齡表對應=2,IF(總檢核,IF($A103="","",SUM('試算表(16歲-65歲)'!P84:AA84)),""),""))</f>
        <v/>
      </c>
      <c r="R103" s="260"/>
      <c r="S103" s="260"/>
      <c r="T103" s="257" t="str">
        <f t="shared" ca="1" si="11"/>
        <v/>
      </c>
      <c r="U103" s="257"/>
      <c r="V103" s="257"/>
      <c r="W103" s="257"/>
    </row>
    <row r="104" spans="1:23" ht="18.5">
      <c r="A104" s="89" t="s">
        <v>176</v>
      </c>
      <c r="B104" s="258" t="s">
        <v>189</v>
      </c>
      <c r="C104" s="258"/>
      <c r="D104" s="258"/>
      <c r="E104" s="258"/>
      <c r="F104" s="258"/>
      <c r="G104" s="258"/>
      <c r="H104" s="258"/>
      <c r="I104" s="258"/>
      <c r="J104" s="258"/>
      <c r="K104" s="258"/>
      <c r="L104" s="258"/>
      <c r="M104" s="258"/>
      <c r="N104" s="258"/>
      <c r="O104" s="258"/>
      <c r="P104" s="258"/>
      <c r="Q104" s="258"/>
      <c r="R104" s="258"/>
      <c r="S104" s="258"/>
      <c r="T104" s="258"/>
      <c r="U104" s="258"/>
      <c r="V104" s="258"/>
      <c r="W104" s="258"/>
    </row>
    <row r="105" spans="1:23">
      <c r="A105" s="89" t="s">
        <v>176</v>
      </c>
      <c r="B105" s="258" t="s">
        <v>190</v>
      </c>
      <c r="C105" s="258"/>
      <c r="D105" s="258"/>
      <c r="E105" s="258"/>
      <c r="F105" s="258"/>
      <c r="G105" s="258"/>
      <c r="H105" s="258"/>
      <c r="I105" s="258"/>
      <c r="J105" s="258"/>
      <c r="K105" s="258"/>
      <c r="L105" s="258"/>
      <c r="M105" s="258"/>
      <c r="N105" s="258"/>
      <c r="O105" s="258"/>
      <c r="P105" s="258"/>
      <c r="Q105" s="258"/>
      <c r="R105" s="258"/>
      <c r="S105" s="258"/>
      <c r="T105" s="258"/>
      <c r="U105" s="258"/>
      <c r="V105" s="258"/>
      <c r="W105" s="258"/>
    </row>
    <row r="106" spans="1:23" ht="31.9" customHeight="1">
      <c r="A106" s="89" t="s">
        <v>176</v>
      </c>
      <c r="B106" s="231" t="s">
        <v>181</v>
      </c>
      <c r="C106" s="231"/>
      <c r="D106" s="231"/>
      <c r="E106" s="231"/>
      <c r="F106" s="231"/>
      <c r="G106" s="231"/>
      <c r="H106" s="231"/>
      <c r="I106" s="231"/>
      <c r="J106" s="231"/>
      <c r="K106" s="231"/>
      <c r="L106" s="231"/>
      <c r="M106" s="231"/>
      <c r="N106" s="231"/>
      <c r="O106" s="231"/>
      <c r="P106" s="231"/>
      <c r="Q106" s="231"/>
      <c r="R106" s="231"/>
      <c r="S106" s="231"/>
      <c r="T106" s="231"/>
      <c r="U106" s="231"/>
      <c r="V106" s="231"/>
      <c r="W106" s="231"/>
    </row>
  </sheetData>
  <sheetProtection algorithmName="SHA-512" hashValue="ZRiScJ0E5ErXVvBtFEi6n+WRQBCjBNfdNWPitw4kobTEmYJDAfMiPK1vygJw7YwJBl5/RDEEvKhfWEv08qdoXA==" saltValue="W1WUeT5ww+vvPS9wT+KytQ==" spinCount="100000" sheet="1" selectLockedCells="1"/>
  <mergeCells count="646">
    <mergeCell ref="A24:C24"/>
    <mergeCell ref="A25:C25"/>
    <mergeCell ref="A26:C26"/>
    <mergeCell ref="A27:C27"/>
    <mergeCell ref="T26:W26"/>
    <mergeCell ref="D27:F27"/>
    <mergeCell ref="G27:I27"/>
    <mergeCell ref="J27:M27"/>
    <mergeCell ref="N27:P27"/>
    <mergeCell ref="Q27:S27"/>
    <mergeCell ref="T27:W27"/>
    <mergeCell ref="D26:F26"/>
    <mergeCell ref="G26:I26"/>
    <mergeCell ref="J26:M26"/>
    <mergeCell ref="N26:P26"/>
    <mergeCell ref="Q26:S26"/>
    <mergeCell ref="T24:W24"/>
    <mergeCell ref="D25:F25"/>
    <mergeCell ref="G25:I25"/>
    <mergeCell ref="J25:M25"/>
    <mergeCell ref="N25:P25"/>
    <mergeCell ref="Q25:S25"/>
    <mergeCell ref="T25:W25"/>
    <mergeCell ref="D24:F24"/>
    <mergeCell ref="T102:W102"/>
    <mergeCell ref="D103:F103"/>
    <mergeCell ref="G103:I103"/>
    <mergeCell ref="J103:M103"/>
    <mergeCell ref="N103:P103"/>
    <mergeCell ref="Q103:S103"/>
    <mergeCell ref="T103:W103"/>
    <mergeCell ref="A102:C102"/>
    <mergeCell ref="A103:C103"/>
    <mergeCell ref="D102:F102"/>
    <mergeCell ref="G102:I102"/>
    <mergeCell ref="J102:M102"/>
    <mergeCell ref="N102:P102"/>
    <mergeCell ref="Q102:S102"/>
    <mergeCell ref="T100:W100"/>
    <mergeCell ref="D101:F101"/>
    <mergeCell ref="G101:I101"/>
    <mergeCell ref="J101:M101"/>
    <mergeCell ref="N101:P101"/>
    <mergeCell ref="Q101:S101"/>
    <mergeCell ref="T101:W101"/>
    <mergeCell ref="A100:C100"/>
    <mergeCell ref="A101:C101"/>
    <mergeCell ref="D100:F100"/>
    <mergeCell ref="G100:I100"/>
    <mergeCell ref="J100:M100"/>
    <mergeCell ref="N100:P100"/>
    <mergeCell ref="Q100:S100"/>
    <mergeCell ref="T98:W98"/>
    <mergeCell ref="D99:F99"/>
    <mergeCell ref="G99:I99"/>
    <mergeCell ref="J99:M99"/>
    <mergeCell ref="N99:P99"/>
    <mergeCell ref="Q99:S99"/>
    <mergeCell ref="T99:W99"/>
    <mergeCell ref="A98:C98"/>
    <mergeCell ref="A99:C99"/>
    <mergeCell ref="D98:F98"/>
    <mergeCell ref="G98:I98"/>
    <mergeCell ref="J98:M98"/>
    <mergeCell ref="N98:P98"/>
    <mergeCell ref="Q98:S98"/>
    <mergeCell ref="T96:W96"/>
    <mergeCell ref="D97:F97"/>
    <mergeCell ref="G97:I97"/>
    <mergeCell ref="J97:M97"/>
    <mergeCell ref="N97:P97"/>
    <mergeCell ref="Q97:S97"/>
    <mergeCell ref="T97:W97"/>
    <mergeCell ref="A96:C96"/>
    <mergeCell ref="A97:C97"/>
    <mergeCell ref="D96:F96"/>
    <mergeCell ref="G96:I96"/>
    <mergeCell ref="J96:M96"/>
    <mergeCell ref="N96:P96"/>
    <mergeCell ref="Q96:S96"/>
    <mergeCell ref="T94:W94"/>
    <mergeCell ref="D95:F95"/>
    <mergeCell ref="G95:I95"/>
    <mergeCell ref="J95:M95"/>
    <mergeCell ref="N95:P95"/>
    <mergeCell ref="Q95:S95"/>
    <mergeCell ref="T95:W95"/>
    <mergeCell ref="A94:C94"/>
    <mergeCell ref="A95:C95"/>
    <mergeCell ref="D94:F94"/>
    <mergeCell ref="G94:I94"/>
    <mergeCell ref="J94:M94"/>
    <mergeCell ref="N94:P94"/>
    <mergeCell ref="Q94:S94"/>
    <mergeCell ref="T92:W92"/>
    <mergeCell ref="D93:F93"/>
    <mergeCell ref="G93:I93"/>
    <mergeCell ref="J93:M93"/>
    <mergeCell ref="N93:P93"/>
    <mergeCell ref="Q93:S93"/>
    <mergeCell ref="T93:W93"/>
    <mergeCell ref="A92:C92"/>
    <mergeCell ref="A93:C93"/>
    <mergeCell ref="D92:F92"/>
    <mergeCell ref="G92:I92"/>
    <mergeCell ref="J92:M92"/>
    <mergeCell ref="N92:P92"/>
    <mergeCell ref="Q92:S92"/>
    <mergeCell ref="T90:W90"/>
    <mergeCell ref="D91:F91"/>
    <mergeCell ref="G91:I91"/>
    <mergeCell ref="J91:M91"/>
    <mergeCell ref="N91:P91"/>
    <mergeCell ref="Q91:S91"/>
    <mergeCell ref="T91:W91"/>
    <mergeCell ref="A90:C90"/>
    <mergeCell ref="A91:C91"/>
    <mergeCell ref="D90:F90"/>
    <mergeCell ref="G90:I90"/>
    <mergeCell ref="J90:M90"/>
    <mergeCell ref="N90:P90"/>
    <mergeCell ref="Q90:S90"/>
    <mergeCell ref="T88:W88"/>
    <mergeCell ref="D89:F89"/>
    <mergeCell ref="G89:I89"/>
    <mergeCell ref="J89:M89"/>
    <mergeCell ref="N89:P89"/>
    <mergeCell ref="Q89:S89"/>
    <mergeCell ref="T89:W89"/>
    <mergeCell ref="A88:C88"/>
    <mergeCell ref="A89:C89"/>
    <mergeCell ref="D88:F88"/>
    <mergeCell ref="G88:I88"/>
    <mergeCell ref="J88:M88"/>
    <mergeCell ref="N88:P88"/>
    <mergeCell ref="Q88:S88"/>
    <mergeCell ref="T86:W86"/>
    <mergeCell ref="D87:F87"/>
    <mergeCell ref="G87:I87"/>
    <mergeCell ref="J87:M87"/>
    <mergeCell ref="N87:P87"/>
    <mergeCell ref="Q87:S87"/>
    <mergeCell ref="T87:W87"/>
    <mergeCell ref="A86:C86"/>
    <mergeCell ref="A87:C87"/>
    <mergeCell ref="D86:F86"/>
    <mergeCell ref="G86:I86"/>
    <mergeCell ref="J86:M86"/>
    <mergeCell ref="N86:P86"/>
    <mergeCell ref="Q86:S86"/>
    <mergeCell ref="T84:W84"/>
    <mergeCell ref="D85:F85"/>
    <mergeCell ref="G85:I85"/>
    <mergeCell ref="J85:M85"/>
    <mergeCell ref="N85:P85"/>
    <mergeCell ref="Q85:S85"/>
    <mergeCell ref="T85:W85"/>
    <mergeCell ref="A84:C84"/>
    <mergeCell ref="A85:C85"/>
    <mergeCell ref="D84:F84"/>
    <mergeCell ref="G84:I84"/>
    <mergeCell ref="J84:M84"/>
    <mergeCell ref="N84:P84"/>
    <mergeCell ref="Q84:S84"/>
    <mergeCell ref="T82:W82"/>
    <mergeCell ref="D83:F83"/>
    <mergeCell ref="G83:I83"/>
    <mergeCell ref="J83:M83"/>
    <mergeCell ref="N83:P83"/>
    <mergeCell ref="Q83:S83"/>
    <mergeCell ref="T83:W83"/>
    <mergeCell ref="A82:C82"/>
    <mergeCell ref="A83:C83"/>
    <mergeCell ref="D82:F82"/>
    <mergeCell ref="G82:I82"/>
    <mergeCell ref="J82:M82"/>
    <mergeCell ref="N82:P82"/>
    <mergeCell ref="Q82:S82"/>
    <mergeCell ref="T80:W80"/>
    <mergeCell ref="D81:F81"/>
    <mergeCell ref="G81:I81"/>
    <mergeCell ref="J81:M81"/>
    <mergeCell ref="N81:P81"/>
    <mergeCell ref="Q81:S81"/>
    <mergeCell ref="T81:W81"/>
    <mergeCell ref="A80:C80"/>
    <mergeCell ref="A81:C81"/>
    <mergeCell ref="D80:F80"/>
    <mergeCell ref="G80:I80"/>
    <mergeCell ref="J80:M80"/>
    <mergeCell ref="N80:P80"/>
    <mergeCell ref="Q80:S80"/>
    <mergeCell ref="T78:W78"/>
    <mergeCell ref="D79:F79"/>
    <mergeCell ref="G79:I79"/>
    <mergeCell ref="J79:M79"/>
    <mergeCell ref="N79:P79"/>
    <mergeCell ref="Q79:S79"/>
    <mergeCell ref="T79:W79"/>
    <mergeCell ref="A78:C78"/>
    <mergeCell ref="A79:C79"/>
    <mergeCell ref="D78:F78"/>
    <mergeCell ref="G78:I78"/>
    <mergeCell ref="J78:M78"/>
    <mergeCell ref="N78:P78"/>
    <mergeCell ref="Q78:S78"/>
    <mergeCell ref="T76:W76"/>
    <mergeCell ref="D77:F77"/>
    <mergeCell ref="G77:I77"/>
    <mergeCell ref="J77:M77"/>
    <mergeCell ref="N77:P77"/>
    <mergeCell ref="Q77:S77"/>
    <mergeCell ref="T77:W77"/>
    <mergeCell ref="A76:C76"/>
    <mergeCell ref="A77:C77"/>
    <mergeCell ref="D76:F76"/>
    <mergeCell ref="G76:I76"/>
    <mergeCell ref="J76:M76"/>
    <mergeCell ref="N76:P76"/>
    <mergeCell ref="Q76:S76"/>
    <mergeCell ref="T74:W74"/>
    <mergeCell ref="D75:F75"/>
    <mergeCell ref="G75:I75"/>
    <mergeCell ref="J75:M75"/>
    <mergeCell ref="N75:P75"/>
    <mergeCell ref="Q75:S75"/>
    <mergeCell ref="T75:W75"/>
    <mergeCell ref="A74:C74"/>
    <mergeCell ref="A75:C75"/>
    <mergeCell ref="D74:F74"/>
    <mergeCell ref="G74:I74"/>
    <mergeCell ref="J74:M74"/>
    <mergeCell ref="N74:P74"/>
    <mergeCell ref="Q74:S74"/>
    <mergeCell ref="T72:W72"/>
    <mergeCell ref="D73:F73"/>
    <mergeCell ref="G73:I73"/>
    <mergeCell ref="J73:M73"/>
    <mergeCell ref="N73:P73"/>
    <mergeCell ref="Q73:S73"/>
    <mergeCell ref="T73:W73"/>
    <mergeCell ref="A72:C72"/>
    <mergeCell ref="A73:C73"/>
    <mergeCell ref="D72:F72"/>
    <mergeCell ref="G72:I72"/>
    <mergeCell ref="J72:M72"/>
    <mergeCell ref="N72:P72"/>
    <mergeCell ref="Q72:S72"/>
    <mergeCell ref="T70:W70"/>
    <mergeCell ref="D71:F71"/>
    <mergeCell ref="G71:I71"/>
    <mergeCell ref="J71:M71"/>
    <mergeCell ref="N71:P71"/>
    <mergeCell ref="Q71:S71"/>
    <mergeCell ref="T71:W71"/>
    <mergeCell ref="A70:C70"/>
    <mergeCell ref="A71:C71"/>
    <mergeCell ref="D70:F70"/>
    <mergeCell ref="G70:I70"/>
    <mergeCell ref="J70:M70"/>
    <mergeCell ref="N70:P70"/>
    <mergeCell ref="Q70:S70"/>
    <mergeCell ref="T68:W68"/>
    <mergeCell ref="D69:F69"/>
    <mergeCell ref="G69:I69"/>
    <mergeCell ref="J69:M69"/>
    <mergeCell ref="N69:P69"/>
    <mergeCell ref="Q69:S69"/>
    <mergeCell ref="T69:W69"/>
    <mergeCell ref="A68:C68"/>
    <mergeCell ref="A69:C69"/>
    <mergeCell ref="D68:F68"/>
    <mergeCell ref="G68:I68"/>
    <mergeCell ref="J68:M68"/>
    <mergeCell ref="N68:P68"/>
    <mergeCell ref="Q68:S68"/>
    <mergeCell ref="T66:W66"/>
    <mergeCell ref="D67:F67"/>
    <mergeCell ref="G67:I67"/>
    <mergeCell ref="J67:M67"/>
    <mergeCell ref="N67:P67"/>
    <mergeCell ref="Q67:S67"/>
    <mergeCell ref="T67:W67"/>
    <mergeCell ref="A66:C66"/>
    <mergeCell ref="A67:C67"/>
    <mergeCell ref="D66:F66"/>
    <mergeCell ref="G66:I66"/>
    <mergeCell ref="J66:M66"/>
    <mergeCell ref="N66:P66"/>
    <mergeCell ref="Q66:S66"/>
    <mergeCell ref="T64:W64"/>
    <mergeCell ref="D65:F65"/>
    <mergeCell ref="G65:I65"/>
    <mergeCell ref="J65:M65"/>
    <mergeCell ref="N65:P65"/>
    <mergeCell ref="Q65:S65"/>
    <mergeCell ref="T65:W65"/>
    <mergeCell ref="A64:C64"/>
    <mergeCell ref="A65:C65"/>
    <mergeCell ref="D64:F64"/>
    <mergeCell ref="G64:I64"/>
    <mergeCell ref="J64:M64"/>
    <mergeCell ref="N64:P64"/>
    <mergeCell ref="Q64:S64"/>
    <mergeCell ref="T62:W62"/>
    <mergeCell ref="D63:F63"/>
    <mergeCell ref="G63:I63"/>
    <mergeCell ref="J63:M63"/>
    <mergeCell ref="N63:P63"/>
    <mergeCell ref="Q63:S63"/>
    <mergeCell ref="T63:W63"/>
    <mergeCell ref="A62:C62"/>
    <mergeCell ref="A63:C63"/>
    <mergeCell ref="D62:F62"/>
    <mergeCell ref="G62:I62"/>
    <mergeCell ref="J62:M62"/>
    <mergeCell ref="N62:P62"/>
    <mergeCell ref="Q62:S62"/>
    <mergeCell ref="T60:W60"/>
    <mergeCell ref="D61:F61"/>
    <mergeCell ref="G61:I61"/>
    <mergeCell ref="J61:M61"/>
    <mergeCell ref="N61:P61"/>
    <mergeCell ref="Q61:S61"/>
    <mergeCell ref="T61:W61"/>
    <mergeCell ref="A60:C60"/>
    <mergeCell ref="A61:C61"/>
    <mergeCell ref="D60:F60"/>
    <mergeCell ref="G60:I60"/>
    <mergeCell ref="J60:M60"/>
    <mergeCell ref="N60:P60"/>
    <mergeCell ref="Q60:S60"/>
    <mergeCell ref="T58:W58"/>
    <mergeCell ref="D59:F59"/>
    <mergeCell ref="G59:I59"/>
    <mergeCell ref="J59:M59"/>
    <mergeCell ref="N59:P59"/>
    <mergeCell ref="Q59:S59"/>
    <mergeCell ref="T59:W59"/>
    <mergeCell ref="A58:C58"/>
    <mergeCell ref="A59:C59"/>
    <mergeCell ref="D58:F58"/>
    <mergeCell ref="G58:I58"/>
    <mergeCell ref="J58:M58"/>
    <mergeCell ref="N58:P58"/>
    <mergeCell ref="Q58:S58"/>
    <mergeCell ref="T56:W56"/>
    <mergeCell ref="D57:F57"/>
    <mergeCell ref="G57:I57"/>
    <mergeCell ref="J57:M57"/>
    <mergeCell ref="N57:P57"/>
    <mergeCell ref="Q57:S57"/>
    <mergeCell ref="T57:W57"/>
    <mergeCell ref="A56:C56"/>
    <mergeCell ref="A57:C57"/>
    <mergeCell ref="D56:F56"/>
    <mergeCell ref="G56:I56"/>
    <mergeCell ref="J56:M56"/>
    <mergeCell ref="N56:P56"/>
    <mergeCell ref="Q56:S56"/>
    <mergeCell ref="T54:W54"/>
    <mergeCell ref="D55:F55"/>
    <mergeCell ref="G55:I55"/>
    <mergeCell ref="J55:M55"/>
    <mergeCell ref="N55:P55"/>
    <mergeCell ref="Q55:S55"/>
    <mergeCell ref="T55:W55"/>
    <mergeCell ref="A54:C54"/>
    <mergeCell ref="A55:C55"/>
    <mergeCell ref="D54:F54"/>
    <mergeCell ref="G54:I54"/>
    <mergeCell ref="J54:M54"/>
    <mergeCell ref="N54:P54"/>
    <mergeCell ref="Q54:S54"/>
    <mergeCell ref="T52:W52"/>
    <mergeCell ref="D53:F53"/>
    <mergeCell ref="G53:I53"/>
    <mergeCell ref="J53:M53"/>
    <mergeCell ref="N53:P53"/>
    <mergeCell ref="Q53:S53"/>
    <mergeCell ref="T53:W53"/>
    <mergeCell ref="A52:C52"/>
    <mergeCell ref="A53:C53"/>
    <mergeCell ref="D52:F52"/>
    <mergeCell ref="G52:I52"/>
    <mergeCell ref="J52:M52"/>
    <mergeCell ref="N52:P52"/>
    <mergeCell ref="Q52:S52"/>
    <mergeCell ref="T50:W50"/>
    <mergeCell ref="D51:F51"/>
    <mergeCell ref="G51:I51"/>
    <mergeCell ref="J51:M51"/>
    <mergeCell ref="N51:P51"/>
    <mergeCell ref="Q51:S51"/>
    <mergeCell ref="T51:W51"/>
    <mergeCell ref="A50:C50"/>
    <mergeCell ref="A51:C51"/>
    <mergeCell ref="D50:F50"/>
    <mergeCell ref="G50:I50"/>
    <mergeCell ref="J50:M50"/>
    <mergeCell ref="N50:P50"/>
    <mergeCell ref="Q50:S50"/>
    <mergeCell ref="T48:W48"/>
    <mergeCell ref="D49:F49"/>
    <mergeCell ref="G49:I49"/>
    <mergeCell ref="J49:M49"/>
    <mergeCell ref="N49:P49"/>
    <mergeCell ref="Q49:S49"/>
    <mergeCell ref="T49:W49"/>
    <mergeCell ref="A48:C48"/>
    <mergeCell ref="A49:C49"/>
    <mergeCell ref="D48:F48"/>
    <mergeCell ref="G48:I48"/>
    <mergeCell ref="J48:M48"/>
    <mergeCell ref="N48:P48"/>
    <mergeCell ref="Q48:S48"/>
    <mergeCell ref="T46:W46"/>
    <mergeCell ref="D47:F47"/>
    <mergeCell ref="G47:I47"/>
    <mergeCell ref="J47:M47"/>
    <mergeCell ref="N47:P47"/>
    <mergeCell ref="Q47:S47"/>
    <mergeCell ref="T47:W47"/>
    <mergeCell ref="A46:C46"/>
    <mergeCell ref="A47:C47"/>
    <mergeCell ref="D46:F46"/>
    <mergeCell ref="G46:I46"/>
    <mergeCell ref="J46:M46"/>
    <mergeCell ref="N46:P46"/>
    <mergeCell ref="Q46:S46"/>
    <mergeCell ref="T44:W44"/>
    <mergeCell ref="D45:F45"/>
    <mergeCell ref="G45:I45"/>
    <mergeCell ref="J45:M45"/>
    <mergeCell ref="N45:P45"/>
    <mergeCell ref="Q45:S45"/>
    <mergeCell ref="T45:W45"/>
    <mergeCell ref="A44:C44"/>
    <mergeCell ref="A45:C45"/>
    <mergeCell ref="D44:F44"/>
    <mergeCell ref="G44:I44"/>
    <mergeCell ref="J44:M44"/>
    <mergeCell ref="N44:P44"/>
    <mergeCell ref="Q44:S44"/>
    <mergeCell ref="T42:W42"/>
    <mergeCell ref="D43:F43"/>
    <mergeCell ref="G43:I43"/>
    <mergeCell ref="J43:M43"/>
    <mergeCell ref="N43:P43"/>
    <mergeCell ref="Q43:S43"/>
    <mergeCell ref="T43:W43"/>
    <mergeCell ref="A42:C42"/>
    <mergeCell ref="A43:C43"/>
    <mergeCell ref="D42:F42"/>
    <mergeCell ref="G42:I42"/>
    <mergeCell ref="J42:M42"/>
    <mergeCell ref="N42:P42"/>
    <mergeCell ref="Q42:S42"/>
    <mergeCell ref="T40:W40"/>
    <mergeCell ref="D41:F41"/>
    <mergeCell ref="G41:I41"/>
    <mergeCell ref="J41:M41"/>
    <mergeCell ref="N41:P41"/>
    <mergeCell ref="Q41:S41"/>
    <mergeCell ref="T41:W41"/>
    <mergeCell ref="A40:C40"/>
    <mergeCell ref="A41:C41"/>
    <mergeCell ref="D40:F40"/>
    <mergeCell ref="G40:I40"/>
    <mergeCell ref="J40:M40"/>
    <mergeCell ref="N40:P40"/>
    <mergeCell ref="Q40:S40"/>
    <mergeCell ref="T38:W38"/>
    <mergeCell ref="D39:F39"/>
    <mergeCell ref="G39:I39"/>
    <mergeCell ref="J39:M39"/>
    <mergeCell ref="N39:P39"/>
    <mergeCell ref="Q39:S39"/>
    <mergeCell ref="T39:W39"/>
    <mergeCell ref="A38:C38"/>
    <mergeCell ref="A39:C39"/>
    <mergeCell ref="D38:F38"/>
    <mergeCell ref="G38:I38"/>
    <mergeCell ref="J38:M38"/>
    <mergeCell ref="N38:P38"/>
    <mergeCell ref="Q38:S38"/>
    <mergeCell ref="T36:W36"/>
    <mergeCell ref="D37:F37"/>
    <mergeCell ref="G37:I37"/>
    <mergeCell ref="J37:M37"/>
    <mergeCell ref="N37:P37"/>
    <mergeCell ref="Q37:S37"/>
    <mergeCell ref="T37:W37"/>
    <mergeCell ref="A36:C36"/>
    <mergeCell ref="A37:C37"/>
    <mergeCell ref="D36:F36"/>
    <mergeCell ref="G36:I36"/>
    <mergeCell ref="J36:M36"/>
    <mergeCell ref="N36:P36"/>
    <mergeCell ref="Q36:S36"/>
    <mergeCell ref="T34:W34"/>
    <mergeCell ref="D35:F35"/>
    <mergeCell ref="G35:I35"/>
    <mergeCell ref="J35:M35"/>
    <mergeCell ref="N35:P35"/>
    <mergeCell ref="Q35:S35"/>
    <mergeCell ref="T35:W35"/>
    <mergeCell ref="A34:C34"/>
    <mergeCell ref="A35:C35"/>
    <mergeCell ref="D34:F34"/>
    <mergeCell ref="G34:I34"/>
    <mergeCell ref="J34:M34"/>
    <mergeCell ref="N34:P34"/>
    <mergeCell ref="Q34:S34"/>
    <mergeCell ref="T32:W32"/>
    <mergeCell ref="D33:F33"/>
    <mergeCell ref="G33:I33"/>
    <mergeCell ref="J33:M33"/>
    <mergeCell ref="N33:P33"/>
    <mergeCell ref="Q33:S33"/>
    <mergeCell ref="T33:W33"/>
    <mergeCell ref="A32:C32"/>
    <mergeCell ref="A33:C33"/>
    <mergeCell ref="D32:F32"/>
    <mergeCell ref="G32:I32"/>
    <mergeCell ref="J32:M32"/>
    <mergeCell ref="N32:P32"/>
    <mergeCell ref="Q32:S32"/>
    <mergeCell ref="T30:W30"/>
    <mergeCell ref="D31:F31"/>
    <mergeCell ref="G31:I31"/>
    <mergeCell ref="J31:M31"/>
    <mergeCell ref="N31:P31"/>
    <mergeCell ref="Q31:S31"/>
    <mergeCell ref="T31:W31"/>
    <mergeCell ref="A30:C30"/>
    <mergeCell ref="A31:C31"/>
    <mergeCell ref="D30:F30"/>
    <mergeCell ref="G30:I30"/>
    <mergeCell ref="J30:M30"/>
    <mergeCell ref="N30:P30"/>
    <mergeCell ref="Q30:S30"/>
    <mergeCell ref="T28:W28"/>
    <mergeCell ref="D29:F29"/>
    <mergeCell ref="G29:I29"/>
    <mergeCell ref="J29:M29"/>
    <mergeCell ref="N29:P29"/>
    <mergeCell ref="Q29:S29"/>
    <mergeCell ref="T29:W29"/>
    <mergeCell ref="A28:C28"/>
    <mergeCell ref="A29:C29"/>
    <mergeCell ref="D28:F28"/>
    <mergeCell ref="G28:I28"/>
    <mergeCell ref="J28:M28"/>
    <mergeCell ref="N28:P28"/>
    <mergeCell ref="Q28:S28"/>
    <mergeCell ref="G24:I24"/>
    <mergeCell ref="J24:M24"/>
    <mergeCell ref="N24:P24"/>
    <mergeCell ref="Q24:S24"/>
    <mergeCell ref="Q22:S22"/>
    <mergeCell ref="T22:W22"/>
    <mergeCell ref="D23:F23"/>
    <mergeCell ref="G23:I23"/>
    <mergeCell ref="J23:M23"/>
    <mergeCell ref="N23:P23"/>
    <mergeCell ref="Q23:S23"/>
    <mergeCell ref="T23:W23"/>
    <mergeCell ref="A20:U20"/>
    <mergeCell ref="D21:M21"/>
    <mergeCell ref="N21:W21"/>
    <mergeCell ref="B14:W14"/>
    <mergeCell ref="B15:W15"/>
    <mergeCell ref="C11:J11"/>
    <mergeCell ref="P9:R9"/>
    <mergeCell ref="P10:R10"/>
    <mergeCell ref="P11:R11"/>
    <mergeCell ref="S12:U12"/>
    <mergeCell ref="V12:W12"/>
    <mergeCell ref="B17:W17"/>
    <mergeCell ref="B106:W106"/>
    <mergeCell ref="B19:W19"/>
    <mergeCell ref="B18:W18"/>
    <mergeCell ref="B16:W16"/>
    <mergeCell ref="B3:J3"/>
    <mergeCell ref="C4:J4"/>
    <mergeCell ref="C7:J7"/>
    <mergeCell ref="C5:J5"/>
    <mergeCell ref="C6:J6"/>
    <mergeCell ref="P4:R4"/>
    <mergeCell ref="P5:R5"/>
    <mergeCell ref="P6:R6"/>
    <mergeCell ref="P7:R7"/>
    <mergeCell ref="P8:R8"/>
    <mergeCell ref="A23:C23"/>
    <mergeCell ref="C12:J12"/>
    <mergeCell ref="A22:C22"/>
    <mergeCell ref="D22:F22"/>
    <mergeCell ref="G22:I22"/>
    <mergeCell ref="J22:M22"/>
    <mergeCell ref="N22:P22"/>
    <mergeCell ref="P12:R12"/>
    <mergeCell ref="C9:J9"/>
    <mergeCell ref="C10:J10"/>
    <mergeCell ref="B104:W104"/>
    <mergeCell ref="B105:W105"/>
    <mergeCell ref="L3:M3"/>
    <mergeCell ref="L4:M4"/>
    <mergeCell ref="L5:M5"/>
    <mergeCell ref="L6:M6"/>
    <mergeCell ref="L7:M7"/>
    <mergeCell ref="L8:M8"/>
    <mergeCell ref="L9:M9"/>
    <mergeCell ref="L10:M10"/>
    <mergeCell ref="L11:M11"/>
    <mergeCell ref="L12:M12"/>
    <mergeCell ref="C8:K8"/>
    <mergeCell ref="N3:O3"/>
    <mergeCell ref="N4:O4"/>
    <mergeCell ref="N5:O5"/>
    <mergeCell ref="N6:O6"/>
    <mergeCell ref="N7:O7"/>
    <mergeCell ref="N8:O8"/>
    <mergeCell ref="N9:O9"/>
    <mergeCell ref="N10:O10"/>
    <mergeCell ref="N11:O11"/>
    <mergeCell ref="N12:O12"/>
    <mergeCell ref="P3:R3"/>
    <mergeCell ref="S3:U3"/>
    <mergeCell ref="S4:U4"/>
    <mergeCell ref="S5:U5"/>
    <mergeCell ref="S6:U6"/>
    <mergeCell ref="S7:U7"/>
    <mergeCell ref="S8:U8"/>
    <mergeCell ref="S9:U9"/>
    <mergeCell ref="S10:U10"/>
    <mergeCell ref="S11:U11"/>
    <mergeCell ref="V3:W3"/>
    <mergeCell ref="V4:W4"/>
    <mergeCell ref="V5:W5"/>
    <mergeCell ref="V6:W6"/>
    <mergeCell ref="V7:W7"/>
    <mergeCell ref="V8:W8"/>
    <mergeCell ref="V9:W9"/>
    <mergeCell ref="V10:W10"/>
    <mergeCell ref="V11:W11"/>
  </mergeCells>
  <phoneticPr fontId="2" type="noConversion"/>
  <hyperlinks>
    <hyperlink ref="Y3" location="資料輸入!A1" display="回資料輸入" xr:uid="{430DA4A0-8658-6143-AF31-5F22C9972CB6}"/>
  </hyperlinks>
  <pageMargins left="0.39370078740157483" right="0.39370078740157483" top="0.47244094488188981" bottom="0.47244094488188981" header="0.31496062992125984" footer="0.31496062992125984"/>
  <pageSetup paperSize="9" scale="74" fitToHeight="0" orientation="portrait" r:id="rId1"/>
  <headerFooter>
    <oddFooter>&amp;R&amp;"微軟正黑體,標準"&amp;10第&amp;P頁/共&amp;N頁</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5545F-9C34-484A-A568-C7D9E07630BB}">
  <sheetPr>
    <pageSetUpPr fitToPage="1"/>
  </sheetPr>
  <dimension ref="A1:Y106"/>
  <sheetViews>
    <sheetView zoomScaleNormal="100" workbookViewId="0">
      <selection activeCell="Y2" sqref="Y2"/>
    </sheetView>
  </sheetViews>
  <sheetFormatPr defaultColWidth="10.7265625" defaultRowHeight="15.5"/>
  <cols>
    <col min="1" max="2" width="4.08984375" style="83" customWidth="1"/>
    <col min="3" max="23" width="5.7265625" style="83" customWidth="1"/>
    <col min="24" max="24" width="5.6328125" style="138" customWidth="1"/>
    <col min="25" max="25" width="12" style="73" bestFit="1" customWidth="1"/>
    <col min="26" max="16384" width="10.7265625" style="138"/>
  </cols>
  <sheetData>
    <row r="1" spans="1:25" ht="25.5">
      <c r="A1" s="78" t="s">
        <v>169</v>
      </c>
      <c r="B1" s="78"/>
      <c r="C1" s="78"/>
      <c r="D1" s="79"/>
      <c r="E1" s="79"/>
      <c r="F1" s="79"/>
      <c r="G1" s="79"/>
      <c r="H1" s="79"/>
      <c r="I1" s="79"/>
      <c r="J1" s="79"/>
      <c r="K1" s="79"/>
      <c r="L1" s="79"/>
      <c r="M1" s="79"/>
      <c r="N1" s="79"/>
      <c r="O1" s="79"/>
      <c r="P1" s="79"/>
      <c r="Q1" s="79"/>
      <c r="R1" s="79"/>
      <c r="S1" s="79"/>
      <c r="T1" s="79"/>
      <c r="U1" s="79"/>
      <c r="V1" s="79"/>
      <c r="W1" s="80" t="str">
        <f ca="1">"列印日期："&amp;YEAR(TODAY())-1911&amp;"/"&amp;RIGHT("0"&amp;MONTH(TODAY()),2)&amp;"/"&amp;RIGHT("0"&amp;DAY(TODAY()),2)</f>
        <v>列印日期：113/07/29</v>
      </c>
    </row>
    <row r="2" spans="1:25" ht="18" customHeight="1">
      <c r="A2" s="79"/>
      <c r="B2" s="79"/>
      <c r="C2" s="79"/>
      <c r="D2" s="79"/>
      <c r="E2" s="79"/>
      <c r="F2" s="79"/>
      <c r="G2" s="79"/>
      <c r="H2" s="79"/>
      <c r="I2" s="79"/>
      <c r="J2" s="79"/>
      <c r="K2" s="79"/>
      <c r="L2" s="79"/>
      <c r="M2" s="79"/>
      <c r="N2" s="79"/>
      <c r="O2" s="79"/>
      <c r="P2" s="79"/>
      <c r="Q2" s="79"/>
      <c r="R2" s="79"/>
      <c r="S2" s="79"/>
      <c r="T2" s="79"/>
      <c r="U2" s="79"/>
      <c r="V2" s="79"/>
      <c r="W2" s="80" t="str">
        <f>資料輸入!P4</f>
        <v>《V7.2》</v>
      </c>
      <c r="Y2" s="137"/>
    </row>
    <row r="3" spans="1:25" ht="18" customHeight="1">
      <c r="A3" s="81"/>
      <c r="B3" s="223" t="s">
        <v>170</v>
      </c>
      <c r="C3" s="223"/>
      <c r="D3" s="223"/>
      <c r="E3" s="223"/>
      <c r="F3" s="223"/>
      <c r="G3" s="223"/>
      <c r="H3" s="223"/>
      <c r="I3" s="223"/>
      <c r="J3" s="223"/>
      <c r="K3" s="81"/>
      <c r="L3" s="223" t="s">
        <v>171</v>
      </c>
      <c r="M3" s="223"/>
      <c r="N3" s="223" t="s">
        <v>172</v>
      </c>
      <c r="O3" s="223"/>
      <c r="P3" s="223" t="s">
        <v>173</v>
      </c>
      <c r="Q3" s="223"/>
      <c r="R3" s="223"/>
      <c r="S3" s="223" t="s">
        <v>174</v>
      </c>
      <c r="T3" s="223"/>
      <c r="U3" s="223"/>
      <c r="V3" s="223" t="s">
        <v>175</v>
      </c>
      <c r="W3" s="223"/>
      <c r="Y3" s="139" t="s">
        <v>191</v>
      </c>
    </row>
    <row r="4" spans="1:25">
      <c r="A4" s="95">
        <v>1</v>
      </c>
      <c r="B4" s="95">
        <f t="shared" ref="B4:B12" si="0">IF(A4&gt;分齡表最大險種顯示數,"",A4)</f>
        <v>1</v>
      </c>
      <c r="C4" s="224" t="str">
        <f t="shared" ref="C4:C12" ca="1" si="1">IF(DPAA保額="",IF(總檢核,IF(B4="","",VLOOKUP(B4,保費分齡表顯示順序,2,0)),""),IF(保費分齡表對應=3,IF(總檢核,IF(B4="","",VLOOKUP(B4,保費分齡表顯示順序,2,0)),""),""))</f>
        <v>保誠人壽倍感安心終身醫療健康保險</v>
      </c>
      <c r="D4" s="224"/>
      <c r="E4" s="224"/>
      <c r="F4" s="224"/>
      <c r="G4" s="224"/>
      <c r="H4" s="224"/>
      <c r="I4" s="224"/>
      <c r="J4" s="224"/>
      <c r="K4" s="96"/>
      <c r="L4" s="225" t="str">
        <f t="shared" ref="L4:L12" ca="1" si="2">IF(DPAA保額="",IF(總檢核,IF(B4="","",VLOOKUP(B4,保費分齡表顯示順序,3,0)),""),IF(保費分齡表對應=3,IF(總檢核,IF(B4="","",VLOOKUP(B4,保費分齡表顯示順序,3,0)),""),""))</f>
        <v>AHIRLB1</v>
      </c>
      <c r="M4" s="225"/>
      <c r="N4" s="226" t="str">
        <f t="shared" ref="N4:N12" ca="1" si="3">IF(DPAA保額="",IF(總檢核,IF(B4="","",VLOOKUP(B4,保費分齡表顯示順序,4,0)&amp;"年期"),""),IF(保費分齡表對應=3,IF(總檢核,IF(B4="","",VLOOKUP(B4,保費分齡表顯示順序,4,0)&amp;"年期"),""),""))</f>
        <v>20年期</v>
      </c>
      <c r="O4" s="226"/>
      <c r="P4" s="227" t="str">
        <f t="shared" ref="P4:P12" ca="1" si="4">IF(DPAA保額="",IF(總檢核,IF(B4="","",VLOOKUP(B4,保費分齡表顯示順序,7,0)&amp;"-"&amp;VLOOKUP(B4,保費分齡表顯示順序,8,0)&amp;"歲"),""),IF(保費分齡表對應=3,IF(總檢核,IF(B4="","",VLOOKUP(B4,保費分齡表顯示順序,7,0)&amp;"-"&amp;VLOOKUP(B4,保費分齡表顯示順序,8,0)&amp;"歲"),""),""))</f>
        <v>0-60歲</v>
      </c>
      <c r="Q4" s="227"/>
      <c r="R4" s="227"/>
      <c r="S4" s="226" t="str">
        <f t="shared" ref="S4:S12" ca="1" si="5">IF(DPAA保額="",IF(總檢核,IF(B4="","",VLOOKUP(B4,保費分齡表顯示順序,5,0)),""),IF(保費分齡表對應=3,IF(總檢核,IF(B4="","",VLOOKUP(B4,保費分齡表顯示順序,5,0)),""),""))</f>
        <v>10計劃</v>
      </c>
      <c r="T4" s="226"/>
      <c r="U4" s="226"/>
      <c r="V4" s="226">
        <f ca="1">IF(DPAA保額="",IF(總檢核,IF(B4="","",資料輸入!$D$6),""),IF(保費分齡表對應=3,IF(總檢核,IF(B4="","",資料輸入!$D$6),""),""))</f>
        <v>1</v>
      </c>
      <c r="W4" s="226"/>
    </row>
    <row r="5" spans="1:25">
      <c r="A5" s="95">
        <v>2</v>
      </c>
      <c r="B5" s="95" t="str">
        <f t="shared" si="0"/>
        <v/>
      </c>
      <c r="C5" s="224" t="str">
        <f t="shared" ca="1" si="1"/>
        <v/>
      </c>
      <c r="D5" s="224"/>
      <c r="E5" s="224"/>
      <c r="F5" s="224"/>
      <c r="G5" s="224"/>
      <c r="H5" s="224"/>
      <c r="I5" s="224"/>
      <c r="J5" s="224"/>
      <c r="K5" s="97"/>
      <c r="L5" s="225" t="str">
        <f t="shared" ca="1" si="2"/>
        <v/>
      </c>
      <c r="M5" s="225"/>
      <c r="N5" s="226" t="str">
        <f t="shared" ca="1" si="3"/>
        <v/>
      </c>
      <c r="O5" s="226"/>
      <c r="P5" s="227" t="str">
        <f t="shared" ca="1" si="4"/>
        <v/>
      </c>
      <c r="Q5" s="227"/>
      <c r="R5" s="227"/>
      <c r="S5" s="226" t="str">
        <f t="shared" ca="1" si="5"/>
        <v/>
      </c>
      <c r="T5" s="226"/>
      <c r="U5" s="226"/>
      <c r="V5" s="226" t="str">
        <f ca="1">IF(DPAA保額="",IF(總檢核,IF(B5="","",資料輸入!$D$6),""),IF(保費分齡表對應=3,IF(總檢核,IF(B5="","",資料輸入!$D$6),""),""))</f>
        <v/>
      </c>
      <c r="W5" s="226"/>
    </row>
    <row r="6" spans="1:25">
      <c r="A6" s="95">
        <v>3</v>
      </c>
      <c r="B6" s="95" t="str">
        <f t="shared" si="0"/>
        <v/>
      </c>
      <c r="C6" s="224" t="str">
        <f t="shared" ca="1" si="1"/>
        <v/>
      </c>
      <c r="D6" s="224"/>
      <c r="E6" s="224"/>
      <c r="F6" s="224"/>
      <c r="G6" s="224"/>
      <c r="H6" s="224"/>
      <c r="I6" s="224"/>
      <c r="J6" s="224"/>
      <c r="K6" s="97"/>
      <c r="L6" s="225" t="str">
        <f t="shared" ca="1" si="2"/>
        <v/>
      </c>
      <c r="M6" s="225"/>
      <c r="N6" s="226" t="str">
        <f t="shared" ca="1" si="3"/>
        <v/>
      </c>
      <c r="O6" s="226"/>
      <c r="P6" s="227" t="str">
        <f t="shared" ca="1" si="4"/>
        <v/>
      </c>
      <c r="Q6" s="227"/>
      <c r="R6" s="227"/>
      <c r="S6" s="226" t="str">
        <f t="shared" ca="1" si="5"/>
        <v/>
      </c>
      <c r="T6" s="226"/>
      <c r="U6" s="226"/>
      <c r="V6" s="226" t="str">
        <f ca="1">IF(DPAA保額="",IF(總檢核,IF(B6="","",資料輸入!$D$6),""),IF(保費分齡表對應=3,IF(總檢核,IF(B6="","",資料輸入!$D$6),""),""))</f>
        <v/>
      </c>
      <c r="W6" s="226"/>
    </row>
    <row r="7" spans="1:25">
      <c r="A7" s="95">
        <v>4</v>
      </c>
      <c r="B7" s="95" t="str">
        <f t="shared" si="0"/>
        <v/>
      </c>
      <c r="C7" s="224" t="str">
        <f t="shared" ca="1" si="1"/>
        <v/>
      </c>
      <c r="D7" s="224"/>
      <c r="E7" s="224"/>
      <c r="F7" s="224"/>
      <c r="G7" s="224"/>
      <c r="H7" s="224"/>
      <c r="I7" s="224"/>
      <c r="J7" s="224"/>
      <c r="K7" s="97"/>
      <c r="L7" s="225" t="str">
        <f t="shared" ca="1" si="2"/>
        <v/>
      </c>
      <c r="M7" s="225"/>
      <c r="N7" s="226" t="str">
        <f t="shared" ca="1" si="3"/>
        <v/>
      </c>
      <c r="O7" s="226"/>
      <c r="P7" s="227" t="str">
        <f t="shared" ca="1" si="4"/>
        <v/>
      </c>
      <c r="Q7" s="227"/>
      <c r="R7" s="227"/>
      <c r="S7" s="226" t="str">
        <f t="shared" ca="1" si="5"/>
        <v/>
      </c>
      <c r="T7" s="226"/>
      <c r="U7" s="226"/>
      <c r="V7" s="226" t="str">
        <f ca="1">IF(DPAA保額="",IF(總檢核,IF(B7="","",資料輸入!$D$6),""),IF(保費分齡表對應=3,IF(總檢核,IF(B7="","",資料輸入!$D$6),""),""))</f>
        <v/>
      </c>
      <c r="W7" s="226"/>
    </row>
    <row r="8" spans="1:25">
      <c r="A8" s="95">
        <v>5</v>
      </c>
      <c r="B8" s="95" t="str">
        <f t="shared" si="0"/>
        <v/>
      </c>
      <c r="C8" s="224" t="str">
        <f t="shared" ca="1" si="1"/>
        <v/>
      </c>
      <c r="D8" s="224"/>
      <c r="E8" s="224"/>
      <c r="F8" s="224"/>
      <c r="G8" s="224"/>
      <c r="H8" s="224"/>
      <c r="I8" s="224"/>
      <c r="J8" s="224"/>
      <c r="K8" s="224"/>
      <c r="L8" s="225" t="str">
        <f t="shared" ca="1" si="2"/>
        <v/>
      </c>
      <c r="M8" s="225"/>
      <c r="N8" s="226" t="str">
        <f t="shared" ca="1" si="3"/>
        <v/>
      </c>
      <c r="O8" s="226"/>
      <c r="P8" s="227" t="str">
        <f t="shared" ca="1" si="4"/>
        <v/>
      </c>
      <c r="Q8" s="227"/>
      <c r="R8" s="227"/>
      <c r="S8" s="226" t="str">
        <f t="shared" ca="1" si="5"/>
        <v/>
      </c>
      <c r="T8" s="226"/>
      <c r="U8" s="226"/>
      <c r="V8" s="226" t="str">
        <f ca="1">IF(DPAA保額="",IF(總檢核,IF(B8="","",資料輸入!$D$6),""),IF(保費分齡表對應=3,IF(總檢核,IF(B8="","",資料輸入!$D$6),""),""))</f>
        <v/>
      </c>
      <c r="W8" s="226"/>
    </row>
    <row r="9" spans="1:25">
      <c r="A9" s="95">
        <v>6</v>
      </c>
      <c r="B9" s="95" t="str">
        <f t="shared" si="0"/>
        <v/>
      </c>
      <c r="C9" s="224" t="str">
        <f t="shared" ca="1" si="1"/>
        <v/>
      </c>
      <c r="D9" s="224"/>
      <c r="E9" s="224"/>
      <c r="F9" s="224"/>
      <c r="G9" s="224"/>
      <c r="H9" s="224"/>
      <c r="I9" s="224"/>
      <c r="J9" s="224"/>
      <c r="K9" s="97"/>
      <c r="L9" s="225" t="str">
        <f t="shared" ca="1" si="2"/>
        <v/>
      </c>
      <c r="M9" s="225"/>
      <c r="N9" s="226" t="str">
        <f t="shared" ca="1" si="3"/>
        <v/>
      </c>
      <c r="O9" s="226"/>
      <c r="P9" s="227" t="str">
        <f t="shared" ca="1" si="4"/>
        <v/>
      </c>
      <c r="Q9" s="227"/>
      <c r="R9" s="227"/>
      <c r="S9" s="226" t="str">
        <f t="shared" ca="1" si="5"/>
        <v/>
      </c>
      <c r="T9" s="226"/>
      <c r="U9" s="226"/>
      <c r="V9" s="226" t="str">
        <f ca="1">IF(DPAA保額="",IF(總檢核,IF(B9="","",資料輸入!$D$6),""),IF(保費分齡表對應=3,IF(總檢核,IF(B9="","",資料輸入!$D$6),""),""))</f>
        <v/>
      </c>
      <c r="W9" s="226"/>
    </row>
    <row r="10" spans="1:25">
      <c r="A10" s="95">
        <v>7</v>
      </c>
      <c r="B10" s="95" t="str">
        <f t="shared" si="0"/>
        <v/>
      </c>
      <c r="C10" s="224" t="str">
        <f t="shared" ca="1" si="1"/>
        <v/>
      </c>
      <c r="D10" s="224"/>
      <c r="E10" s="224"/>
      <c r="F10" s="224"/>
      <c r="G10" s="224"/>
      <c r="H10" s="224"/>
      <c r="I10" s="224"/>
      <c r="J10" s="224"/>
      <c r="K10" s="97"/>
      <c r="L10" s="225" t="str">
        <f t="shared" ca="1" si="2"/>
        <v/>
      </c>
      <c r="M10" s="225"/>
      <c r="N10" s="226" t="str">
        <f t="shared" ca="1" si="3"/>
        <v/>
      </c>
      <c r="O10" s="226"/>
      <c r="P10" s="227" t="str">
        <f t="shared" ca="1" si="4"/>
        <v/>
      </c>
      <c r="Q10" s="227"/>
      <c r="R10" s="227"/>
      <c r="S10" s="226" t="str">
        <f t="shared" ca="1" si="5"/>
        <v/>
      </c>
      <c r="T10" s="226"/>
      <c r="U10" s="226"/>
      <c r="V10" s="226" t="str">
        <f ca="1">IF(DPAA保額="",IF(總檢核,IF(B10="","",資料輸入!$D$6),""),IF(保費分齡表對應=3,IF(總檢核,IF(B10="","",資料輸入!$D$6),""),""))</f>
        <v/>
      </c>
      <c r="W10" s="226"/>
    </row>
    <row r="11" spans="1:25">
      <c r="A11" s="95">
        <v>8</v>
      </c>
      <c r="B11" s="95" t="str">
        <f t="shared" si="0"/>
        <v/>
      </c>
      <c r="C11" s="224" t="str">
        <f t="shared" ca="1" si="1"/>
        <v/>
      </c>
      <c r="D11" s="224"/>
      <c r="E11" s="224"/>
      <c r="F11" s="224"/>
      <c r="G11" s="224"/>
      <c r="H11" s="224"/>
      <c r="I11" s="224"/>
      <c r="J11" s="224"/>
      <c r="K11" s="97"/>
      <c r="L11" s="225" t="str">
        <f t="shared" ca="1" si="2"/>
        <v/>
      </c>
      <c r="M11" s="225"/>
      <c r="N11" s="226" t="str">
        <f t="shared" ca="1" si="3"/>
        <v/>
      </c>
      <c r="O11" s="226"/>
      <c r="P11" s="227" t="str">
        <f t="shared" ca="1" si="4"/>
        <v/>
      </c>
      <c r="Q11" s="227"/>
      <c r="R11" s="227"/>
      <c r="S11" s="226" t="str">
        <f t="shared" ca="1" si="5"/>
        <v/>
      </c>
      <c r="T11" s="226"/>
      <c r="U11" s="226"/>
      <c r="V11" s="226" t="str">
        <f ca="1">IF(DPAA保額="",IF(總檢核,IF(B11="","",資料輸入!$D$6),""),IF(保費分齡表對應=3,IF(總檢核,IF(B11="","",資料輸入!$D$6),""),""))</f>
        <v/>
      </c>
      <c r="W11" s="226"/>
    </row>
    <row r="12" spans="1:25" ht="16" thickBot="1">
      <c r="A12" s="98">
        <v>9</v>
      </c>
      <c r="B12" s="98" t="str">
        <f t="shared" si="0"/>
        <v/>
      </c>
      <c r="C12" s="232" t="str">
        <f t="shared" ca="1" si="1"/>
        <v/>
      </c>
      <c r="D12" s="232"/>
      <c r="E12" s="232"/>
      <c r="F12" s="232"/>
      <c r="G12" s="232"/>
      <c r="H12" s="232"/>
      <c r="I12" s="232"/>
      <c r="J12" s="232"/>
      <c r="K12" s="99"/>
      <c r="L12" s="233" t="str">
        <f t="shared" ca="1" si="2"/>
        <v/>
      </c>
      <c r="M12" s="233"/>
      <c r="N12" s="234" t="str">
        <f t="shared" ca="1" si="3"/>
        <v/>
      </c>
      <c r="O12" s="234"/>
      <c r="P12" s="235" t="str">
        <f t="shared" ca="1" si="4"/>
        <v/>
      </c>
      <c r="Q12" s="235"/>
      <c r="R12" s="235"/>
      <c r="S12" s="234" t="str">
        <f t="shared" ca="1" si="5"/>
        <v/>
      </c>
      <c r="T12" s="234"/>
      <c r="U12" s="234"/>
      <c r="V12" s="234" t="str">
        <f ca="1">IF(DPAA保額="",IF(總檢核,IF(B12="","",資料輸入!$D$6),""),IF(保費分齡表對應=3,IF(總檢核,IF(B12="","",資料輸入!$D$6),""),""))</f>
        <v/>
      </c>
      <c r="W12" s="234"/>
    </row>
    <row r="13" spans="1:25" ht="7.9" customHeight="1">
      <c r="A13" s="82"/>
      <c r="B13" s="82"/>
      <c r="C13" s="84"/>
      <c r="D13" s="84"/>
      <c r="E13" s="84"/>
      <c r="F13" s="84"/>
      <c r="G13" s="84"/>
      <c r="H13" s="84"/>
      <c r="I13" s="84"/>
      <c r="J13" s="84"/>
      <c r="K13" s="85"/>
      <c r="L13" s="85"/>
      <c r="M13" s="85"/>
      <c r="N13" s="86"/>
      <c r="O13" s="86"/>
      <c r="P13" s="86"/>
      <c r="Q13" s="87"/>
      <c r="R13" s="87"/>
      <c r="S13" s="88"/>
      <c r="T13" s="87"/>
      <c r="U13" s="87"/>
      <c r="V13" s="87"/>
      <c r="W13" s="88"/>
    </row>
    <row r="14" spans="1:25" ht="18.5" hidden="1">
      <c r="A14" s="89" t="s">
        <v>176</v>
      </c>
      <c r="B14" s="228" t="s">
        <v>177</v>
      </c>
      <c r="C14" s="228"/>
      <c r="D14" s="228"/>
      <c r="E14" s="228"/>
      <c r="F14" s="228"/>
      <c r="G14" s="228"/>
      <c r="H14" s="228"/>
      <c r="I14" s="228"/>
      <c r="J14" s="228"/>
      <c r="K14" s="228"/>
      <c r="L14" s="228"/>
      <c r="M14" s="228"/>
      <c r="N14" s="228"/>
      <c r="O14" s="228"/>
      <c r="P14" s="228"/>
      <c r="Q14" s="228"/>
      <c r="R14" s="228"/>
      <c r="S14" s="228"/>
      <c r="T14" s="228"/>
      <c r="U14" s="228"/>
      <c r="V14" s="228"/>
      <c r="W14" s="228"/>
    </row>
    <row r="15" spans="1:25" hidden="1">
      <c r="A15" s="89" t="s">
        <v>176</v>
      </c>
      <c r="B15" s="228" t="s">
        <v>178</v>
      </c>
      <c r="C15" s="228"/>
      <c r="D15" s="228"/>
      <c r="E15" s="228"/>
      <c r="F15" s="228"/>
      <c r="G15" s="228"/>
      <c r="H15" s="228"/>
      <c r="I15" s="228"/>
      <c r="J15" s="228"/>
      <c r="K15" s="228"/>
      <c r="L15" s="228"/>
      <c r="M15" s="228"/>
      <c r="N15" s="228"/>
      <c r="O15" s="228"/>
      <c r="P15" s="228"/>
      <c r="Q15" s="228"/>
      <c r="R15" s="228"/>
      <c r="S15" s="228"/>
      <c r="T15" s="228"/>
      <c r="U15" s="228"/>
      <c r="V15" s="228"/>
      <c r="W15" s="228"/>
    </row>
    <row r="16" spans="1:25" ht="17.149999999999999" customHeight="1">
      <c r="A16" s="89" t="s">
        <v>176</v>
      </c>
      <c r="B16" s="229" t="s">
        <v>179</v>
      </c>
      <c r="C16" s="229"/>
      <c r="D16" s="229"/>
      <c r="E16" s="229"/>
      <c r="F16" s="229"/>
      <c r="G16" s="229"/>
      <c r="H16" s="229"/>
      <c r="I16" s="229"/>
      <c r="J16" s="229"/>
      <c r="K16" s="229"/>
      <c r="L16" s="229"/>
      <c r="M16" s="229"/>
      <c r="N16" s="229"/>
      <c r="O16" s="229"/>
      <c r="P16" s="229"/>
      <c r="Q16" s="229"/>
      <c r="R16" s="229"/>
      <c r="S16" s="229"/>
      <c r="T16" s="229"/>
      <c r="U16" s="229"/>
      <c r="V16" s="229"/>
      <c r="W16" s="229"/>
    </row>
    <row r="17" spans="1:23" ht="17.149999999999999" customHeight="1">
      <c r="A17" s="89" t="s">
        <v>176</v>
      </c>
      <c r="B17" s="229" t="s">
        <v>180</v>
      </c>
      <c r="C17" s="229"/>
      <c r="D17" s="229"/>
      <c r="E17" s="229"/>
      <c r="F17" s="229"/>
      <c r="G17" s="229"/>
      <c r="H17" s="229"/>
      <c r="I17" s="229"/>
      <c r="J17" s="229"/>
      <c r="K17" s="229"/>
      <c r="L17" s="229"/>
      <c r="M17" s="229"/>
      <c r="N17" s="229"/>
      <c r="O17" s="229"/>
      <c r="P17" s="229"/>
      <c r="Q17" s="229"/>
      <c r="R17" s="229"/>
      <c r="S17" s="229"/>
      <c r="T17" s="229"/>
      <c r="U17" s="229"/>
      <c r="V17" s="229"/>
      <c r="W17" s="229"/>
    </row>
    <row r="18" spans="1:23" ht="17.149999999999999" customHeight="1">
      <c r="A18" s="89" t="s">
        <v>176</v>
      </c>
      <c r="B18" s="261" t="s">
        <v>267</v>
      </c>
      <c r="C18" s="229"/>
      <c r="D18" s="229"/>
      <c r="E18" s="229"/>
      <c r="F18" s="229"/>
      <c r="G18" s="229"/>
      <c r="H18" s="229"/>
      <c r="I18" s="229"/>
      <c r="J18" s="229"/>
      <c r="K18" s="229"/>
      <c r="L18" s="229"/>
      <c r="M18" s="229"/>
      <c r="N18" s="229"/>
      <c r="O18" s="229"/>
      <c r="P18" s="229"/>
      <c r="Q18" s="229"/>
      <c r="R18" s="229"/>
      <c r="S18" s="229"/>
      <c r="T18" s="229"/>
      <c r="U18" s="229"/>
      <c r="V18" s="229"/>
      <c r="W18" s="229"/>
    </row>
    <row r="19" spans="1:23" ht="31.9" hidden="1" customHeight="1">
      <c r="A19" s="89" t="s">
        <v>176</v>
      </c>
      <c r="B19" s="231" t="s">
        <v>181</v>
      </c>
      <c r="C19" s="231"/>
      <c r="D19" s="231"/>
      <c r="E19" s="231"/>
      <c r="F19" s="231"/>
      <c r="G19" s="231"/>
      <c r="H19" s="231"/>
      <c r="I19" s="231"/>
      <c r="J19" s="231"/>
      <c r="K19" s="231"/>
      <c r="L19" s="231"/>
      <c r="M19" s="231"/>
      <c r="N19" s="231"/>
      <c r="O19" s="231"/>
      <c r="P19" s="231"/>
      <c r="Q19" s="231"/>
      <c r="R19" s="231"/>
      <c r="S19" s="231"/>
      <c r="T19" s="231"/>
      <c r="U19" s="231"/>
      <c r="V19" s="231"/>
      <c r="W19" s="231"/>
    </row>
    <row r="20" spans="1:23" ht="18" customHeight="1">
      <c r="A20" s="236"/>
      <c r="B20" s="236"/>
      <c r="C20" s="236"/>
      <c r="D20" s="236"/>
      <c r="E20" s="236"/>
      <c r="F20" s="236"/>
      <c r="G20" s="236"/>
      <c r="H20" s="236"/>
      <c r="I20" s="236"/>
      <c r="J20" s="236"/>
      <c r="K20" s="236"/>
      <c r="L20" s="236"/>
      <c r="M20" s="236"/>
      <c r="N20" s="236"/>
      <c r="O20" s="236"/>
      <c r="P20" s="236"/>
      <c r="Q20" s="236"/>
      <c r="R20" s="236"/>
      <c r="S20" s="236"/>
      <c r="T20" s="236"/>
      <c r="U20" s="236"/>
      <c r="V20" s="90"/>
      <c r="W20" s="90" t="s">
        <v>182</v>
      </c>
    </row>
    <row r="21" spans="1:23" ht="18" customHeight="1">
      <c r="A21" s="94"/>
      <c r="B21" s="94"/>
      <c r="C21" s="94"/>
      <c r="D21" s="237" t="s">
        <v>183</v>
      </c>
      <c r="E21" s="237"/>
      <c r="F21" s="237"/>
      <c r="G21" s="237"/>
      <c r="H21" s="237"/>
      <c r="I21" s="237"/>
      <c r="J21" s="237"/>
      <c r="K21" s="237"/>
      <c r="L21" s="237"/>
      <c r="M21" s="238"/>
      <c r="N21" s="237" t="s">
        <v>184</v>
      </c>
      <c r="O21" s="237"/>
      <c r="P21" s="237"/>
      <c r="Q21" s="237"/>
      <c r="R21" s="237"/>
      <c r="S21" s="237"/>
      <c r="T21" s="237"/>
      <c r="U21" s="237"/>
      <c r="V21" s="237"/>
      <c r="W21" s="237"/>
    </row>
    <row r="22" spans="1:23" ht="18" customHeight="1">
      <c r="A22" s="239" t="s">
        <v>185</v>
      </c>
      <c r="B22" s="239"/>
      <c r="C22" s="239"/>
      <c r="D22" s="239" t="s">
        <v>186</v>
      </c>
      <c r="E22" s="239"/>
      <c r="F22" s="239"/>
      <c r="G22" s="239" t="s">
        <v>187</v>
      </c>
      <c r="H22" s="239"/>
      <c r="I22" s="239"/>
      <c r="J22" s="239" t="s">
        <v>188</v>
      </c>
      <c r="K22" s="239"/>
      <c r="L22" s="239"/>
      <c r="M22" s="240"/>
      <c r="N22" s="239" t="s">
        <v>186</v>
      </c>
      <c r="O22" s="239"/>
      <c r="P22" s="239"/>
      <c r="Q22" s="239" t="s">
        <v>187</v>
      </c>
      <c r="R22" s="239"/>
      <c r="S22" s="239"/>
      <c r="T22" s="239" t="s">
        <v>188</v>
      </c>
      <c r="U22" s="239"/>
      <c r="V22" s="239"/>
      <c r="W22" s="239"/>
    </row>
    <row r="23" spans="1:23">
      <c r="A23" s="227" t="str">
        <f ca="1">IF(DPAA保額="",IF(總檢核,'試算表 (66-70歲)'!A4,""),IF(保費分齡表對應=3,IF(總檢核,'試算表 (66-70歲)'!A4,""),""))</f>
        <v/>
      </c>
      <c r="B23" s="227"/>
      <c r="C23" s="227"/>
      <c r="D23" s="243" t="str">
        <f ca="1">IF(DPAA保額="",IF(總檢核,IF(A22=分齡表最大顯示年齡,"***以下空白***",IF(A23&lt;=分齡表最大顯示年齡,'試算表 (66-70歲)'!B4,"")),""),IF(保費分齡表對應=3,IF(總檢核,IF(A22=分齡表最大顯示年齡,"***以下空白***",IF(A23&lt;=分齡表最大顯示年齡,'試算表 (66-70歲)'!B4,"")),""),""))</f>
        <v/>
      </c>
      <c r="E23" s="243"/>
      <c r="F23" s="243"/>
      <c r="G23" s="241" t="str">
        <f ca="1">IF(DPAA保額="",IF(總檢核,IF($A23="","",SUM('試算表 (66-70歲)'!C4:N4)),""),IF(保費分齡表對應=3,IF(總檢核,IF($A23="","",SUM('試算表 (66-70歲)'!C4:N4)),""),""))</f>
        <v/>
      </c>
      <c r="H23" s="241"/>
      <c r="I23" s="241"/>
      <c r="J23" s="241" t="str">
        <f t="shared" ref="J23:J54" ca="1" si="6">IF(DPAA保額="",IF(總檢核,IF($A23="","",D23+G23),""),IF(保費分齡表對應=3,IF(總檢核,IF($A23="","",D23+G23),""),""))</f>
        <v/>
      </c>
      <c r="K23" s="242"/>
      <c r="L23" s="242"/>
      <c r="M23" s="242"/>
      <c r="N23" s="243" t="str">
        <f ca="1">IF(DPAA保額="",IF(總檢核,IF(A23="","",'試算表 (66-70歲)'!O4),""),IF(保費分齡表對應=3,IF(總檢核,IF(A23="","",'試算表 (66-70歲)'!O4),""),""))</f>
        <v/>
      </c>
      <c r="O23" s="243"/>
      <c r="P23" s="243"/>
      <c r="Q23" s="243" t="str">
        <f ca="1">IF(DPAA保額="",IF(總檢核,IF($A23="","",SUM('試算表 (66-70歲)'!P4:AA4)),""),IF(保費分齡表對應=3,IF(總檢核,IF($A23="","",SUM('試算表 (66-70歲)'!P4:AA4)),""),""))</f>
        <v/>
      </c>
      <c r="R23" s="243"/>
      <c r="S23" s="243"/>
      <c r="T23" s="241" t="str">
        <f t="shared" ref="T23:T54" ca="1" si="7">IF(DPAA保額="",IF(總檢核,IF($A23="","",N23+Q23),""),IF(保費分齡表對應=3,IF(總檢核,IF($A23="","",N23+Q23),""),""))</f>
        <v/>
      </c>
      <c r="U23" s="242"/>
      <c r="V23" s="242"/>
      <c r="W23" s="242"/>
    </row>
    <row r="24" spans="1:23">
      <c r="A24" s="227" t="str">
        <f ca="1">IF(DPAA保額="",IF(總檢核,'試算表 (66-70歲)'!A5,""),IF(保費分齡表對應=3,IF(總檢核,'試算表 (66-70歲)'!A5,""),""))</f>
        <v/>
      </c>
      <c r="B24" s="227"/>
      <c r="C24" s="227"/>
      <c r="D24" s="243" t="str">
        <f ca="1">IF(DPAA保額="",IF(總檢核,IF(A23=分齡表最大顯示年齡,"***以下空白***",IF(A24&lt;=分齡表最大顯示年齡,'試算表 (66-70歲)'!B5,"")),""),IF(保費分齡表對應=3,IF(總檢核,IF(A23=分齡表最大顯示年齡,"***以下空白***",IF(A24&lt;=分齡表最大顯示年齡,'試算表 (66-70歲)'!B5,"")),""),""))</f>
        <v/>
      </c>
      <c r="E24" s="243"/>
      <c r="F24" s="243"/>
      <c r="G24" s="241" t="str">
        <f ca="1">IF(DPAA保額="",IF(總檢核,IF($A24="","",SUM('試算表 (66-70歲)'!C5:N5)),""),IF(保費分齡表對應=3,IF(總檢核,IF($A24="","",SUM('試算表 (66-70歲)'!C5:N5)),""),""))</f>
        <v/>
      </c>
      <c r="H24" s="241"/>
      <c r="I24" s="241"/>
      <c r="J24" s="241" t="str">
        <f t="shared" ca="1" si="6"/>
        <v/>
      </c>
      <c r="K24" s="242"/>
      <c r="L24" s="242"/>
      <c r="M24" s="242"/>
      <c r="N24" s="243" t="str">
        <f ca="1">IF(DPAA保額="",IF(總檢核,IF(A24="","",'試算表 (66-70歲)'!O5),""),IF(保費分齡表對應=3,IF(總檢核,IF(A24="","",'試算表 (66-70歲)'!O5),""),""))</f>
        <v/>
      </c>
      <c r="O24" s="243"/>
      <c r="P24" s="243"/>
      <c r="Q24" s="243" t="str">
        <f ca="1">IF(DPAA保額="",IF(總檢核,IF($A24="","",SUM('試算表 (66-70歲)'!P5:AA5)),""),IF(保費分齡表對應=3,IF(總檢核,IF($A24="","",SUM('試算表 (66-70歲)'!P5:AA5)),""),""))</f>
        <v/>
      </c>
      <c r="R24" s="243"/>
      <c r="S24" s="243"/>
      <c r="T24" s="241" t="str">
        <f t="shared" ca="1" si="7"/>
        <v/>
      </c>
      <c r="U24" s="241"/>
      <c r="V24" s="241"/>
      <c r="W24" s="241"/>
    </row>
    <row r="25" spans="1:23">
      <c r="A25" s="227" t="str">
        <f ca="1">IF(DPAA保額="",IF(總檢核,'試算表 (66-70歲)'!A6,""),IF(保費分齡表對應=3,IF(總檢核,'試算表 (66-70歲)'!A6,""),""))</f>
        <v/>
      </c>
      <c r="B25" s="227"/>
      <c r="C25" s="227"/>
      <c r="D25" s="243" t="str">
        <f ca="1">IF(DPAA保額="",IF(總檢核,IF(A24=分齡表最大顯示年齡,"***以下空白***",IF(A25&lt;=分齡表最大顯示年齡,'試算表 (66-70歲)'!B6,"")),""),IF(保費分齡表對應=3,IF(總檢核,IF(A24=分齡表最大顯示年齡,"***以下空白***",IF(A25&lt;=分齡表最大顯示年齡,'試算表 (66-70歲)'!B6,"")),""),""))</f>
        <v/>
      </c>
      <c r="E25" s="243"/>
      <c r="F25" s="243"/>
      <c r="G25" s="241" t="str">
        <f ca="1">IF(DPAA保額="",IF(總檢核,IF($A25="","",SUM('試算表 (66-70歲)'!C6:N6)),""),IF(保費分齡表對應=3,IF(總檢核,IF($A25="","",SUM('試算表 (66-70歲)'!C6:N6)),""),""))</f>
        <v/>
      </c>
      <c r="H25" s="241"/>
      <c r="I25" s="241"/>
      <c r="J25" s="241" t="str">
        <f t="shared" ca="1" si="6"/>
        <v/>
      </c>
      <c r="K25" s="241"/>
      <c r="L25" s="241"/>
      <c r="M25" s="241"/>
      <c r="N25" s="243" t="str">
        <f ca="1">IF(DPAA保額="",IF(總檢核,IF(A25="","",'試算表 (66-70歲)'!O6),""),IF(保費分齡表對應=3,IF(總檢核,IF(A25="","",'試算表 (66-70歲)'!O6),""),""))</f>
        <v/>
      </c>
      <c r="O25" s="243"/>
      <c r="P25" s="243"/>
      <c r="Q25" s="243" t="str">
        <f ca="1">IF(DPAA保額="",IF(總檢核,IF($A25="","",SUM('試算表 (66-70歲)'!P6:AA6)),""),IF(保費分齡表對應=3,IF(總檢核,IF($A25="","",SUM('試算表 (66-70歲)'!P6:AA6)),""),""))</f>
        <v/>
      </c>
      <c r="R25" s="243"/>
      <c r="S25" s="243"/>
      <c r="T25" s="241" t="str">
        <f t="shared" ca="1" si="7"/>
        <v/>
      </c>
      <c r="U25" s="241"/>
      <c r="V25" s="241"/>
      <c r="W25" s="241"/>
    </row>
    <row r="26" spans="1:23">
      <c r="A26" s="227" t="str">
        <f ca="1">IF(DPAA保額="",IF(總檢核,'試算表 (66-70歲)'!A7,""),IF(保費分齡表對應=3,IF(總檢核,'試算表 (66-70歲)'!A7,""),""))</f>
        <v/>
      </c>
      <c r="B26" s="227"/>
      <c r="C26" s="227"/>
      <c r="D26" s="243" t="str">
        <f ca="1">IF(DPAA保額="",IF(總檢核,IF(A25=分齡表最大顯示年齡,"***以下空白***",IF(A26&lt;=分齡表最大顯示年齡,'試算表 (66-70歲)'!B7,"")),""),IF(保費分齡表對應=3,IF(總檢核,IF(A25=分齡表最大顯示年齡,"***以下空白***",IF(A26&lt;=分齡表最大顯示年齡,'試算表 (66-70歲)'!B7,"")),""),""))</f>
        <v/>
      </c>
      <c r="E26" s="243"/>
      <c r="F26" s="243"/>
      <c r="G26" s="241" t="str">
        <f ca="1">IF(DPAA保額="",IF(總檢核,IF($A26="","",SUM('試算表 (66-70歲)'!C7:N7)),""),IF(保費分齡表對應=3,IF(總檢核,IF($A26="","",SUM('試算表 (66-70歲)'!C7:N7)),""),""))</f>
        <v/>
      </c>
      <c r="H26" s="241"/>
      <c r="I26" s="241"/>
      <c r="J26" s="241" t="str">
        <f t="shared" ca="1" si="6"/>
        <v/>
      </c>
      <c r="K26" s="241"/>
      <c r="L26" s="241"/>
      <c r="M26" s="241"/>
      <c r="N26" s="243" t="str">
        <f ca="1">IF(DPAA保額="",IF(總檢核,IF(A26="","",'試算表 (66-70歲)'!O7),""),IF(保費分齡表對應=3,IF(總檢核,IF(A26="","",'試算表 (66-70歲)'!O7),""),""))</f>
        <v/>
      </c>
      <c r="O26" s="243"/>
      <c r="P26" s="243"/>
      <c r="Q26" s="243" t="str">
        <f ca="1">IF(DPAA保額="",IF(總檢核,IF($A26="","",SUM('試算表 (66-70歲)'!P7:AA7)),""),IF(保費分齡表對應=3,IF(總檢核,IF($A26="","",SUM('試算表 (66-70歲)'!P7:AA7)),""),""))</f>
        <v/>
      </c>
      <c r="R26" s="243"/>
      <c r="S26" s="243"/>
      <c r="T26" s="241" t="str">
        <f t="shared" ca="1" si="7"/>
        <v/>
      </c>
      <c r="U26" s="241"/>
      <c r="V26" s="241"/>
      <c r="W26" s="241"/>
    </row>
    <row r="27" spans="1:23">
      <c r="A27" s="227" t="str">
        <f ca="1">IF(DPAA保額="",IF(總檢核,'試算表 (66-70歲)'!A8,""),IF(保費分齡表對應=3,IF(總檢核,'試算表 (66-70歲)'!A8,""),""))</f>
        <v/>
      </c>
      <c r="B27" s="227"/>
      <c r="C27" s="227"/>
      <c r="D27" s="243" t="str">
        <f ca="1">IF(DPAA保額="",IF(總檢核,IF(A26=分齡表最大顯示年齡,"***以下空白***",IF(A27&lt;=分齡表最大顯示年齡,'試算表 (66-70歲)'!B8,"")),""),IF(保費分齡表對應=3,IF(總檢核,IF(A26=分齡表最大顯示年齡,"***以下空白***",IF(A27&lt;=分齡表最大顯示年齡,'試算表 (66-70歲)'!B8,"")),""),""))</f>
        <v/>
      </c>
      <c r="E27" s="243"/>
      <c r="F27" s="243"/>
      <c r="G27" s="241" t="str">
        <f ca="1">IF(DPAA保額="",IF(總檢核,IF($A27="","",SUM('試算表 (66-70歲)'!C8:N8)),""),IF(保費分齡表對應=3,IF(總檢核,IF($A27="","",SUM('試算表 (66-70歲)'!C8:N8)),""),""))</f>
        <v/>
      </c>
      <c r="H27" s="241"/>
      <c r="I27" s="241"/>
      <c r="J27" s="241" t="str">
        <f t="shared" ca="1" si="6"/>
        <v/>
      </c>
      <c r="K27" s="241"/>
      <c r="L27" s="241"/>
      <c r="M27" s="241"/>
      <c r="N27" s="243" t="str">
        <f ca="1">IF(DPAA保額="",IF(總檢核,IF(A27="","",'試算表 (66-70歲)'!O8),""),IF(保費分齡表對應=3,IF(總檢核,IF(A27="","",'試算表 (66-70歲)'!O8),""),""))</f>
        <v/>
      </c>
      <c r="O27" s="243"/>
      <c r="P27" s="243"/>
      <c r="Q27" s="243" t="str">
        <f ca="1">IF(DPAA保額="",IF(總檢核,IF($A27="","",SUM('試算表 (66-70歲)'!P8:AA8)),""),IF(保費分齡表對應=3,IF(總檢核,IF($A27="","",SUM('試算表 (66-70歲)'!P8:AA8)),""),""))</f>
        <v/>
      </c>
      <c r="R27" s="243"/>
      <c r="S27" s="243"/>
      <c r="T27" s="241" t="str">
        <f t="shared" ca="1" si="7"/>
        <v/>
      </c>
      <c r="U27" s="241"/>
      <c r="V27" s="241"/>
      <c r="W27" s="241"/>
    </row>
    <row r="28" spans="1:23">
      <c r="A28" s="244" t="str">
        <f ca="1">IF(DPAA保額="",IF(總檢核,'試算表 (66-70歲)'!A9,""),IF(保費分齡表對應=3,IF(總檢核,'試算表 (66-70歲)'!A9,""),""))</f>
        <v/>
      </c>
      <c r="B28" s="244"/>
      <c r="C28" s="244"/>
      <c r="D28" s="245" t="str">
        <f ca="1">IF(DPAA保額="",IF(總檢核,IF(A27=分齡表最大顯示年齡,"***以下空白***",IF(A28&lt;=分齡表最大顯示年齡,'試算表 (66-70歲)'!B9,"")),""),IF(保費分齡表對應=3,IF(總檢核,IF(A27=分齡表最大顯示年齡,"***以下空白***",IF(A28&lt;=分齡表最大顯示年齡,'試算表 (66-70歲)'!B9,"")),""),""))</f>
        <v/>
      </c>
      <c r="E28" s="245"/>
      <c r="F28" s="245"/>
      <c r="G28" s="246" t="str">
        <f ca="1">IF(DPAA保額="",IF(總檢核,IF($A28="","",SUM('試算表 (66-70歲)'!C9:N9)),""),IF(保費分齡表對應=3,IF(總檢核,IF($A28="","",SUM('試算表 (66-70歲)'!C9:N9)),""),""))</f>
        <v/>
      </c>
      <c r="H28" s="246"/>
      <c r="I28" s="246"/>
      <c r="J28" s="246" t="str">
        <f t="shared" ca="1" si="6"/>
        <v/>
      </c>
      <c r="K28" s="246"/>
      <c r="L28" s="246"/>
      <c r="M28" s="246"/>
      <c r="N28" s="245" t="str">
        <f ca="1">IF(DPAA保額="",IF(總檢核,IF(A28="","",'試算表 (66-70歲)'!O9),""),IF(保費分齡表對應=3,IF(總檢核,IF(A28="","",'試算表 (66-70歲)'!O9),""),""))</f>
        <v/>
      </c>
      <c r="O28" s="245"/>
      <c r="P28" s="245"/>
      <c r="Q28" s="245" t="str">
        <f ca="1">IF(DPAA保額="",IF(總檢核,IF($A28="","",SUM('試算表 (66-70歲)'!P9:AA9)),""),IF(保費分齡表對應=3,IF(總檢核,IF($A28="","",SUM('試算表 (66-70歲)'!P9:AA9)),""),""))</f>
        <v/>
      </c>
      <c r="R28" s="245"/>
      <c r="S28" s="245"/>
      <c r="T28" s="246" t="str">
        <f t="shared" ca="1" si="7"/>
        <v/>
      </c>
      <c r="U28" s="246"/>
      <c r="V28" s="246"/>
      <c r="W28" s="246"/>
    </row>
    <row r="29" spans="1:23">
      <c r="A29" s="227" t="str">
        <f ca="1">IF(DPAA保額="",IF(總檢核,'試算表 (66-70歲)'!A10,""),IF(保費分齡表對應=3,IF(總檢核,'試算表 (66-70歲)'!A10,""),""))</f>
        <v/>
      </c>
      <c r="B29" s="227"/>
      <c r="C29" s="227"/>
      <c r="D29" s="243" t="str">
        <f ca="1">IF(DPAA保額="",IF(總檢核,IF(A28=分齡表最大顯示年齡,"***以下空白***",IF(A29&lt;=分齡表最大顯示年齡,'試算表 (66-70歲)'!B10,"")),""),IF(保費分齡表對應=3,IF(總檢核,IF(A28=分齡表最大顯示年齡,"***以下空白***",IF(A29&lt;=分齡表最大顯示年齡,'試算表 (66-70歲)'!B10,"")),""),""))</f>
        <v/>
      </c>
      <c r="E29" s="243"/>
      <c r="F29" s="243"/>
      <c r="G29" s="241" t="str">
        <f ca="1">IF(DPAA保額="",IF(總檢核,IF($A29="","",SUM('試算表 (66-70歲)'!C10:N10)),""),IF(保費分齡表對應=3,IF(總檢核,IF($A29="","",SUM('試算表 (66-70歲)'!C10:N10)),""),""))</f>
        <v/>
      </c>
      <c r="H29" s="241"/>
      <c r="I29" s="241"/>
      <c r="J29" s="241" t="str">
        <f t="shared" ca="1" si="6"/>
        <v/>
      </c>
      <c r="K29" s="241"/>
      <c r="L29" s="241"/>
      <c r="M29" s="241"/>
      <c r="N29" s="243" t="str">
        <f ca="1">IF(DPAA保額="",IF(總檢核,IF(A29="","",'試算表 (66-70歲)'!O10),""),IF(保費分齡表對應=3,IF(總檢核,IF(A29="","",'試算表 (66-70歲)'!O10),""),""))</f>
        <v/>
      </c>
      <c r="O29" s="243"/>
      <c r="P29" s="243"/>
      <c r="Q29" s="243" t="str">
        <f ca="1">IF(DPAA保額="",IF(總檢核,IF($A29="","",SUM('試算表 (66-70歲)'!P10:AA10)),""),IF(保費分齡表對應=3,IF(總檢核,IF($A29="","",SUM('試算表 (66-70歲)'!P10:AA10)),""),""))</f>
        <v/>
      </c>
      <c r="R29" s="243"/>
      <c r="S29" s="243"/>
      <c r="T29" s="241" t="str">
        <f t="shared" ca="1" si="7"/>
        <v/>
      </c>
      <c r="U29" s="241"/>
      <c r="V29" s="241"/>
      <c r="W29" s="241"/>
    </row>
    <row r="30" spans="1:23">
      <c r="A30" s="227" t="str">
        <f ca="1">IF(DPAA保額="",IF(總檢核,'試算表 (66-70歲)'!A11,""),IF(保費分齡表對應=3,IF(總檢核,'試算表 (66-70歲)'!A11,""),""))</f>
        <v/>
      </c>
      <c r="B30" s="227"/>
      <c r="C30" s="227"/>
      <c r="D30" s="243" t="str">
        <f ca="1">IF(DPAA保額="",IF(總檢核,IF(A29=分齡表最大顯示年齡,"***以下空白***",IF(A30&lt;=分齡表最大顯示年齡,'試算表 (66-70歲)'!B11,"")),""),IF(保費分齡表對應=3,IF(總檢核,IF(A29=分齡表最大顯示年齡,"***以下空白***",IF(A30&lt;=分齡表最大顯示年齡,'試算表 (66-70歲)'!B11,"")),""),""))</f>
        <v/>
      </c>
      <c r="E30" s="243"/>
      <c r="F30" s="243"/>
      <c r="G30" s="241" t="str">
        <f ca="1">IF(DPAA保額="",IF(總檢核,IF($A30="","",SUM('試算表 (66-70歲)'!C11:N11)),""),IF(保費分齡表對應=3,IF(總檢核,IF($A30="","",SUM('試算表 (66-70歲)'!C11:N11)),""),""))</f>
        <v/>
      </c>
      <c r="H30" s="241"/>
      <c r="I30" s="241"/>
      <c r="J30" s="241" t="str">
        <f t="shared" ca="1" si="6"/>
        <v/>
      </c>
      <c r="K30" s="241"/>
      <c r="L30" s="241"/>
      <c r="M30" s="241"/>
      <c r="N30" s="243" t="str">
        <f ca="1">IF(DPAA保額="",IF(總檢核,IF(A30="","",'試算表 (66-70歲)'!O11),""),IF(保費分齡表對應=3,IF(總檢核,IF(A30="","",'試算表 (66-70歲)'!O11),""),""))</f>
        <v/>
      </c>
      <c r="O30" s="243"/>
      <c r="P30" s="243"/>
      <c r="Q30" s="243" t="str">
        <f ca="1">IF(DPAA保額="",IF(總檢核,IF($A30="","",SUM('試算表 (66-70歲)'!P11:AA11)),""),IF(保費分齡表對應=3,IF(總檢核,IF($A30="","",SUM('試算表 (66-70歲)'!P11:AA11)),""),""))</f>
        <v/>
      </c>
      <c r="R30" s="243"/>
      <c r="S30" s="243"/>
      <c r="T30" s="241" t="str">
        <f t="shared" ca="1" si="7"/>
        <v/>
      </c>
      <c r="U30" s="241"/>
      <c r="V30" s="241"/>
      <c r="W30" s="241"/>
    </row>
    <row r="31" spans="1:23">
      <c r="A31" s="227" t="str">
        <f ca="1">IF(DPAA保額="",IF(總檢核,'試算表 (66-70歲)'!A12,""),IF(保費分齡表對應=3,IF(總檢核,'試算表 (66-70歲)'!A12,""),""))</f>
        <v/>
      </c>
      <c r="B31" s="227"/>
      <c r="C31" s="227"/>
      <c r="D31" s="243" t="str">
        <f ca="1">IF(DPAA保額="",IF(總檢核,IF(A30=分齡表最大顯示年齡,"***以下空白***",IF(A31&lt;=分齡表最大顯示年齡,'試算表 (66-70歲)'!B12,"")),""),IF(保費分齡表對應=3,IF(總檢核,IF(A30=分齡表最大顯示年齡,"***以下空白***",IF(A31&lt;=分齡表最大顯示年齡,'試算表 (66-70歲)'!B12,"")),""),""))</f>
        <v/>
      </c>
      <c r="E31" s="243"/>
      <c r="F31" s="243"/>
      <c r="G31" s="241" t="str">
        <f ca="1">IF(DPAA保額="",IF(總檢核,IF($A31="","",SUM('試算表 (66-70歲)'!C12:N12)),""),IF(保費分齡表對應=3,IF(總檢核,IF($A31="","",SUM('試算表 (66-70歲)'!C12:N12)),""),""))</f>
        <v/>
      </c>
      <c r="H31" s="241"/>
      <c r="I31" s="241"/>
      <c r="J31" s="241" t="str">
        <f t="shared" ca="1" si="6"/>
        <v/>
      </c>
      <c r="K31" s="241"/>
      <c r="L31" s="241"/>
      <c r="M31" s="241"/>
      <c r="N31" s="243" t="str">
        <f ca="1">IF(DPAA保額="",IF(總檢核,IF(A31="","",'試算表 (66-70歲)'!O12),""),IF(保費分齡表對應=3,IF(總檢核,IF(A31="","",'試算表 (66-70歲)'!O12),""),""))</f>
        <v/>
      </c>
      <c r="O31" s="243"/>
      <c r="P31" s="243"/>
      <c r="Q31" s="243" t="str">
        <f ca="1">IF(DPAA保額="",IF(總檢核,IF($A31="","",SUM('試算表 (66-70歲)'!P12:AA12)),""),IF(保費分齡表對應=3,IF(總檢核,IF($A31="","",SUM('試算表 (66-70歲)'!P12:AA12)),""),""))</f>
        <v/>
      </c>
      <c r="R31" s="243"/>
      <c r="S31" s="243"/>
      <c r="T31" s="241" t="str">
        <f t="shared" ca="1" si="7"/>
        <v/>
      </c>
      <c r="U31" s="241"/>
      <c r="V31" s="241"/>
      <c r="W31" s="241"/>
    </row>
    <row r="32" spans="1:23">
      <c r="A32" s="227" t="str">
        <f ca="1">IF(DPAA保額="",IF(總檢核,'試算表 (66-70歲)'!A13,""),IF(保費分齡表對應=3,IF(總檢核,'試算表 (66-70歲)'!A13,""),""))</f>
        <v/>
      </c>
      <c r="B32" s="227"/>
      <c r="C32" s="227"/>
      <c r="D32" s="243" t="str">
        <f ca="1">IF(DPAA保額="",IF(總檢核,IF(A31=分齡表最大顯示年齡,"***以下空白***",IF(A32&lt;=分齡表最大顯示年齡,'試算表 (66-70歲)'!B13,"")),""),IF(保費分齡表對應=3,IF(總檢核,IF(A31=分齡表最大顯示年齡,"***以下空白***",IF(A32&lt;=分齡表最大顯示年齡,'試算表 (66-70歲)'!B13,"")),""),""))</f>
        <v/>
      </c>
      <c r="E32" s="243"/>
      <c r="F32" s="243"/>
      <c r="G32" s="241" t="str">
        <f ca="1">IF(DPAA保額="",IF(總檢核,IF($A32="","",SUM('試算表 (66-70歲)'!C13:N13)),""),IF(保費分齡表對應=3,IF(總檢核,IF($A32="","",SUM('試算表 (66-70歲)'!C13:N13)),""),""))</f>
        <v/>
      </c>
      <c r="H32" s="241"/>
      <c r="I32" s="241"/>
      <c r="J32" s="241" t="str">
        <f t="shared" ca="1" si="6"/>
        <v/>
      </c>
      <c r="K32" s="241"/>
      <c r="L32" s="241"/>
      <c r="M32" s="241"/>
      <c r="N32" s="243" t="str">
        <f ca="1">IF(DPAA保額="",IF(總檢核,IF(A32="","",'試算表 (66-70歲)'!O13),""),IF(保費分齡表對應=3,IF(總檢核,IF(A32="","",'試算表 (66-70歲)'!O13),""),""))</f>
        <v/>
      </c>
      <c r="O32" s="243"/>
      <c r="P32" s="243"/>
      <c r="Q32" s="243" t="str">
        <f ca="1">IF(DPAA保額="",IF(總檢核,IF($A32="","",SUM('試算表 (66-70歲)'!P13:AA13)),""),IF(保費分齡表對應=3,IF(總檢核,IF($A32="","",SUM('試算表 (66-70歲)'!P13:AA13)),""),""))</f>
        <v/>
      </c>
      <c r="R32" s="243"/>
      <c r="S32" s="243"/>
      <c r="T32" s="241" t="str">
        <f t="shared" ca="1" si="7"/>
        <v/>
      </c>
      <c r="U32" s="241"/>
      <c r="V32" s="241"/>
      <c r="W32" s="241"/>
    </row>
    <row r="33" spans="1:23" ht="16" thickBot="1">
      <c r="A33" s="247" t="str">
        <f ca="1">IF(DPAA保額="",IF(總檢核,'試算表 (66-70歲)'!A14,""),IF(保費分齡表對應=3,IF(總檢核,'試算表 (66-70歲)'!A14,""),""))</f>
        <v/>
      </c>
      <c r="B33" s="247"/>
      <c r="C33" s="247"/>
      <c r="D33" s="248" t="str">
        <f ca="1">IF(DPAA保額="",IF(總檢核,IF(A32=分齡表最大顯示年齡,"***以下空白***",IF(A33&lt;=分齡表最大顯示年齡,'試算表 (66-70歲)'!B14,"")),""),IF(保費分齡表對應=3,IF(總檢核,IF(A32=分齡表最大顯示年齡,"***以下空白***",IF(A33&lt;=分齡表最大顯示年齡,'試算表 (66-70歲)'!B14,"")),""),""))</f>
        <v/>
      </c>
      <c r="E33" s="248"/>
      <c r="F33" s="248"/>
      <c r="G33" s="249" t="str">
        <f ca="1">IF(DPAA保額="",IF(總檢核,IF($A33="","",SUM('試算表 (66-70歲)'!C14:N14)),""),IF(保費分齡表對應=3,IF(總檢核,IF($A33="","",SUM('試算表 (66-70歲)'!C14:N14)),""),""))</f>
        <v/>
      </c>
      <c r="H33" s="249"/>
      <c r="I33" s="249"/>
      <c r="J33" s="249" t="str">
        <f t="shared" ca="1" si="6"/>
        <v/>
      </c>
      <c r="K33" s="249"/>
      <c r="L33" s="249"/>
      <c r="M33" s="249"/>
      <c r="N33" s="248" t="str">
        <f ca="1">IF(DPAA保額="",IF(總檢核,IF(A33="","",'試算表 (66-70歲)'!O14),""),IF(保費分齡表對應=3,IF(總檢核,IF(A33="","",'試算表 (66-70歲)'!O14),""),""))</f>
        <v/>
      </c>
      <c r="O33" s="248"/>
      <c r="P33" s="248"/>
      <c r="Q33" s="248" t="str">
        <f ca="1">IF(DPAA保額="",IF(總檢核,IF($A33="","",SUM('試算表 (66-70歲)'!P14:AA14)),""),IF(保費分齡表對應=3,IF(總檢核,IF($A33="","",SUM('試算表 (66-70歲)'!P14:AA14)),""),""))</f>
        <v/>
      </c>
      <c r="R33" s="248"/>
      <c r="S33" s="248"/>
      <c r="T33" s="249" t="str">
        <f t="shared" ca="1" si="7"/>
        <v/>
      </c>
      <c r="U33" s="249"/>
      <c r="V33" s="249"/>
      <c r="W33" s="249"/>
    </row>
    <row r="34" spans="1:23" hidden="1">
      <c r="A34" s="251" t="str">
        <f ca="1">IF(DPAA保額="",IF(總檢核,'試算表 (66-70歲)'!A15,""),IF(保費分齡表對應=3,IF(總檢核,'試算表 (66-70歲)'!A15,""),""))</f>
        <v/>
      </c>
      <c r="B34" s="251"/>
      <c r="C34" s="251"/>
      <c r="D34" s="252" t="str">
        <f ca="1">IF(DPAA保額="",IF(總檢核,IF(A33=分齡表最大顯示年齡,"***以下空白***",IF(A34&lt;=分齡表最大顯示年齡,'試算表 (66-70歲)'!B15,"")),""),IF(保費分齡表對應=3,IF(總檢核,IF(A33=分齡表最大顯示年齡,"***以下空白***",IF(A34&lt;=分齡表最大顯示年齡,'試算表 (66-70歲)'!B15,"")),""),""))</f>
        <v/>
      </c>
      <c r="E34" s="252"/>
      <c r="F34" s="252"/>
      <c r="G34" s="250" t="str">
        <f ca="1">IF(DPAA保額="",IF(總檢核,IF($A34="","",SUM('試算表 (66-70歲)'!C15:N15)),""),IF(保費分齡表對應=3,IF(總檢核,IF($A34="","",SUM('試算表 (66-70歲)'!C15:N15)),""),""))</f>
        <v/>
      </c>
      <c r="H34" s="250"/>
      <c r="I34" s="250"/>
      <c r="J34" s="250" t="str">
        <f t="shared" ca="1" si="6"/>
        <v/>
      </c>
      <c r="K34" s="250"/>
      <c r="L34" s="250"/>
      <c r="M34" s="250"/>
      <c r="N34" s="252" t="str">
        <f ca="1">IF(DPAA保額="",IF(總檢核,IF(A34="","",'試算表 (66-70歲)'!O15),""),IF(保費分齡表對應=3,IF(總檢核,IF(A34="","",'試算表 (66-70歲)'!O15),""),""))</f>
        <v/>
      </c>
      <c r="O34" s="252"/>
      <c r="P34" s="252"/>
      <c r="Q34" s="252" t="str">
        <f ca="1">IF(DPAA保額="",IF(總檢核,IF($A34="","",SUM('試算表 (66-70歲)'!P15:AA15)),""),IF(保費分齡表對應=3,IF(總檢核,IF($A34="","",SUM('試算表 (66-70歲)'!P15:AA15)),""),""))</f>
        <v/>
      </c>
      <c r="R34" s="252"/>
      <c r="S34" s="252"/>
      <c r="T34" s="250" t="str">
        <f t="shared" ca="1" si="7"/>
        <v/>
      </c>
      <c r="U34" s="250"/>
      <c r="V34" s="250"/>
      <c r="W34" s="250"/>
    </row>
    <row r="35" spans="1:23" hidden="1">
      <c r="A35" s="251" t="str">
        <f ca="1">IF(DPAA保額="",IF(總檢核,'試算表 (66-70歲)'!A16,""),IF(保費分齡表對應=3,IF(總檢核,'試算表 (66-70歲)'!A16,""),""))</f>
        <v/>
      </c>
      <c r="B35" s="251"/>
      <c r="C35" s="251"/>
      <c r="D35" s="252" t="str">
        <f ca="1">IF(DPAA保額="",IF(總檢核,IF(A34=分齡表最大顯示年齡,"***以下空白***",IF(A35&lt;=分齡表最大顯示年齡,'試算表 (66-70歲)'!B16,"")),""),IF(保費分齡表對應=3,IF(總檢核,IF(A34=分齡表最大顯示年齡,"***以下空白***",IF(A35&lt;=分齡表最大顯示年齡,'試算表 (66-70歲)'!B16,"")),""),""))</f>
        <v/>
      </c>
      <c r="E35" s="252"/>
      <c r="F35" s="252"/>
      <c r="G35" s="250" t="str">
        <f ca="1">IF(DPAA保額="",IF(總檢核,IF($A35="","",SUM('試算表 (66-70歲)'!C16:N16)),""),IF(保費分齡表對應=3,IF(總檢核,IF($A35="","",SUM('試算表 (66-70歲)'!C16:N16)),""),""))</f>
        <v/>
      </c>
      <c r="H35" s="250"/>
      <c r="I35" s="250"/>
      <c r="J35" s="250" t="str">
        <f t="shared" ca="1" si="6"/>
        <v/>
      </c>
      <c r="K35" s="250"/>
      <c r="L35" s="250"/>
      <c r="M35" s="250"/>
      <c r="N35" s="252" t="str">
        <f ca="1">IF(DPAA保額="",IF(總檢核,IF(A35="","",'試算表 (66-70歲)'!O16),""),IF(保費分齡表對應=3,IF(總檢核,IF(A35="","",'試算表 (66-70歲)'!O16),""),""))</f>
        <v/>
      </c>
      <c r="O35" s="252"/>
      <c r="P35" s="252"/>
      <c r="Q35" s="252" t="str">
        <f ca="1">IF(DPAA保額="",IF(總檢核,IF($A35="","",SUM('試算表 (66-70歲)'!P16:AA16)),""),IF(保費分齡表對應=3,IF(總檢核,IF($A35="","",SUM('試算表 (66-70歲)'!P16:AA16)),""),""))</f>
        <v/>
      </c>
      <c r="R35" s="252"/>
      <c r="S35" s="252"/>
      <c r="T35" s="250" t="str">
        <f t="shared" ca="1" si="7"/>
        <v/>
      </c>
      <c r="U35" s="250"/>
      <c r="V35" s="250"/>
      <c r="W35" s="250"/>
    </row>
    <row r="36" spans="1:23" hidden="1">
      <c r="A36" s="251" t="str">
        <f ca="1">IF(DPAA保額="",IF(總檢核,'試算表 (66-70歲)'!A17,""),IF(保費分齡表對應=3,IF(總檢核,'試算表 (66-70歲)'!A17,""),""))</f>
        <v/>
      </c>
      <c r="B36" s="251"/>
      <c r="C36" s="251"/>
      <c r="D36" s="252" t="str">
        <f ca="1">IF(DPAA保額="",IF(總檢核,IF(A35=分齡表最大顯示年齡,"***以下空白***",IF(A36&lt;=分齡表最大顯示年齡,'試算表 (66-70歲)'!B17,"")),""),IF(保費分齡表對應=3,IF(總檢核,IF(A35=分齡表最大顯示年齡,"***以下空白***",IF(A36&lt;=分齡表最大顯示年齡,'試算表 (66-70歲)'!B17,"")),""),""))</f>
        <v/>
      </c>
      <c r="E36" s="252"/>
      <c r="F36" s="252"/>
      <c r="G36" s="250" t="str">
        <f ca="1">IF(DPAA保額="",IF(總檢核,IF($A36="","",SUM('試算表 (66-70歲)'!C17:N17)),""),IF(保費分齡表對應=3,IF(總檢核,IF($A36="","",SUM('試算表 (66-70歲)'!C17:N17)),""),""))</f>
        <v/>
      </c>
      <c r="H36" s="250"/>
      <c r="I36" s="250"/>
      <c r="J36" s="250" t="str">
        <f t="shared" ca="1" si="6"/>
        <v/>
      </c>
      <c r="K36" s="250"/>
      <c r="L36" s="250"/>
      <c r="M36" s="250"/>
      <c r="N36" s="252" t="str">
        <f ca="1">IF(DPAA保額="",IF(總檢核,IF(A36="","",'試算表 (66-70歲)'!O17),""),IF(保費分齡表對應=3,IF(總檢核,IF(A36="","",'試算表 (66-70歲)'!O17),""),""))</f>
        <v/>
      </c>
      <c r="O36" s="252"/>
      <c r="P36" s="252"/>
      <c r="Q36" s="252" t="str">
        <f ca="1">IF(DPAA保額="",IF(總檢核,IF($A36="","",SUM('試算表 (66-70歲)'!P17:AA17)),""),IF(保費分齡表對應=3,IF(總檢核,IF($A36="","",SUM('試算表 (66-70歲)'!P17:AA17)),""),""))</f>
        <v/>
      </c>
      <c r="R36" s="252"/>
      <c r="S36" s="252"/>
      <c r="T36" s="250" t="str">
        <f t="shared" ca="1" si="7"/>
        <v/>
      </c>
      <c r="U36" s="250"/>
      <c r="V36" s="250"/>
      <c r="W36" s="250"/>
    </row>
    <row r="37" spans="1:23" hidden="1">
      <c r="A37" s="251" t="str">
        <f ca="1">IF(DPAA保額="",IF(總檢核,'試算表 (66-70歲)'!A18,""),IF(保費分齡表對應=3,IF(總檢核,'試算表 (66-70歲)'!A18,""),""))</f>
        <v/>
      </c>
      <c r="B37" s="251"/>
      <c r="C37" s="251"/>
      <c r="D37" s="252" t="str">
        <f ca="1">IF(DPAA保額="",IF(總檢核,IF(A36=分齡表最大顯示年齡,"***以下空白***",IF(A37&lt;=分齡表最大顯示年齡,'試算表 (66-70歲)'!B18,"")),""),IF(保費分齡表對應=3,IF(總檢核,IF(A36=分齡表最大顯示年齡,"***以下空白***",IF(A37&lt;=分齡表最大顯示年齡,'試算表 (66-70歲)'!B18,"")),""),""))</f>
        <v/>
      </c>
      <c r="E37" s="252"/>
      <c r="F37" s="252"/>
      <c r="G37" s="250" t="str">
        <f ca="1">IF(DPAA保額="",IF(總檢核,IF($A37="","",SUM('試算表 (66-70歲)'!C18:N18)),""),IF(保費分齡表對應=3,IF(總檢核,IF($A37="","",SUM('試算表 (66-70歲)'!C18:N18)),""),""))</f>
        <v/>
      </c>
      <c r="H37" s="250"/>
      <c r="I37" s="250"/>
      <c r="J37" s="250" t="str">
        <f t="shared" ca="1" si="6"/>
        <v/>
      </c>
      <c r="K37" s="250"/>
      <c r="L37" s="250"/>
      <c r="M37" s="250"/>
      <c r="N37" s="252" t="str">
        <f ca="1">IF(DPAA保額="",IF(總檢核,IF(A37="","",'試算表 (66-70歲)'!O18),""),IF(保費分齡表對應=3,IF(總檢核,IF(A37="","",'試算表 (66-70歲)'!O18),""),""))</f>
        <v/>
      </c>
      <c r="O37" s="252"/>
      <c r="P37" s="252"/>
      <c r="Q37" s="252" t="str">
        <f ca="1">IF(DPAA保額="",IF(總檢核,IF($A37="","",SUM('試算表 (66-70歲)'!P18:AA18)),""),IF(保費分齡表對應=3,IF(總檢核,IF($A37="","",SUM('試算表 (66-70歲)'!P18:AA18)),""),""))</f>
        <v/>
      </c>
      <c r="R37" s="252"/>
      <c r="S37" s="252"/>
      <c r="T37" s="250" t="str">
        <f t="shared" ca="1" si="7"/>
        <v/>
      </c>
      <c r="U37" s="250"/>
      <c r="V37" s="250"/>
      <c r="W37" s="250"/>
    </row>
    <row r="38" spans="1:23" hidden="1">
      <c r="A38" s="254" t="str">
        <f ca="1">IF(DPAA保額="",IF(總檢核,'試算表 (66-70歲)'!A19,""),IF(保費分齡表對應=3,IF(總檢核,'試算表 (66-70歲)'!A19,""),""))</f>
        <v/>
      </c>
      <c r="B38" s="254"/>
      <c r="C38" s="254"/>
      <c r="D38" s="255" t="str">
        <f ca="1">IF(DPAA保額="",IF(總檢核,IF(A37=分齡表最大顯示年齡,"***以下空白***",IF(A38&lt;=分齡表最大顯示年齡,'試算表 (66-70歲)'!B19,"")),""),IF(保費分齡表對應=3,IF(總檢核,IF(A37=分齡表最大顯示年齡,"***以下空白***",IF(A38&lt;=分齡表最大顯示年齡,'試算表 (66-70歲)'!B19,"")),""),""))</f>
        <v/>
      </c>
      <c r="E38" s="255"/>
      <c r="F38" s="255"/>
      <c r="G38" s="253" t="str">
        <f ca="1">IF(DPAA保額="",IF(總檢核,IF($A38="","",SUM('試算表 (66-70歲)'!C19:N19)),""),IF(保費分齡表對應=3,IF(總檢核,IF($A38="","",SUM('試算表 (66-70歲)'!C19:N19)),""),""))</f>
        <v/>
      </c>
      <c r="H38" s="253"/>
      <c r="I38" s="253"/>
      <c r="J38" s="253" t="str">
        <f t="shared" ca="1" si="6"/>
        <v/>
      </c>
      <c r="K38" s="253"/>
      <c r="L38" s="253"/>
      <c r="M38" s="253"/>
      <c r="N38" s="255" t="str">
        <f ca="1">IF(DPAA保額="",IF(總檢核,IF(A38="","",'試算表 (66-70歲)'!O19),""),IF(保費分齡表對應=3,IF(總檢核,IF(A38="","",'試算表 (66-70歲)'!O19),""),""))</f>
        <v/>
      </c>
      <c r="O38" s="255"/>
      <c r="P38" s="255"/>
      <c r="Q38" s="255" t="str">
        <f ca="1">IF(DPAA保額="",IF(總檢核,IF($A38="","",SUM('試算表 (66-70歲)'!P19:AA19)),""),IF(保費分齡表對應=3,IF(總檢核,IF($A38="","",SUM('試算表 (66-70歲)'!P19:AA19)),""),""))</f>
        <v/>
      </c>
      <c r="R38" s="255"/>
      <c r="S38" s="255"/>
      <c r="T38" s="253" t="str">
        <f t="shared" ca="1" si="7"/>
        <v/>
      </c>
      <c r="U38" s="253"/>
      <c r="V38" s="253"/>
      <c r="W38" s="253"/>
    </row>
    <row r="39" spans="1:23" hidden="1">
      <c r="A39" s="251" t="str">
        <f ca="1">IF(DPAA保額="",IF(總檢核,'試算表 (66-70歲)'!A20,""),IF(保費分齡表對應=3,IF(總檢核,'試算表 (66-70歲)'!A20,""),""))</f>
        <v/>
      </c>
      <c r="B39" s="251"/>
      <c r="C39" s="251"/>
      <c r="D39" s="252" t="str">
        <f ca="1">IF(DPAA保額="",IF(總檢核,IF(A38=分齡表最大顯示年齡,"***以下空白***",IF(A39&lt;=分齡表最大顯示年齡,'試算表 (66-70歲)'!B20,"")),""),IF(保費分齡表對應=3,IF(總檢核,IF(A38=分齡表最大顯示年齡,"***以下空白***",IF(A39&lt;=分齡表最大顯示年齡,'試算表 (66-70歲)'!B20,"")),""),""))</f>
        <v/>
      </c>
      <c r="E39" s="252"/>
      <c r="F39" s="252"/>
      <c r="G39" s="250" t="str">
        <f ca="1">IF(DPAA保額="",IF(總檢核,IF($A39="","",SUM('試算表 (66-70歲)'!C20:N20)),""),IF(保費分齡表對應=3,IF(總檢核,IF($A39="","",SUM('試算表 (66-70歲)'!C20:N20)),""),""))</f>
        <v/>
      </c>
      <c r="H39" s="250"/>
      <c r="I39" s="250"/>
      <c r="J39" s="250" t="str">
        <f t="shared" ca="1" si="6"/>
        <v/>
      </c>
      <c r="K39" s="250"/>
      <c r="L39" s="250"/>
      <c r="M39" s="250"/>
      <c r="N39" s="252" t="str">
        <f ca="1">IF(DPAA保額="",IF(總檢核,IF(A39="","",'試算表 (66-70歲)'!O20),""),IF(保費分齡表對應=3,IF(總檢核,IF(A39="","",'試算表 (66-70歲)'!O20),""),""))</f>
        <v/>
      </c>
      <c r="O39" s="252"/>
      <c r="P39" s="252"/>
      <c r="Q39" s="252" t="str">
        <f ca="1">IF(DPAA保額="",IF(總檢核,IF($A39="","",SUM('試算表 (66-70歲)'!P20:AA20)),""),IF(保費分齡表對應=3,IF(總檢核,IF($A39="","",SUM('試算表 (66-70歲)'!P20:AA20)),""),""))</f>
        <v/>
      </c>
      <c r="R39" s="252"/>
      <c r="S39" s="252"/>
      <c r="T39" s="250" t="str">
        <f t="shared" ca="1" si="7"/>
        <v/>
      </c>
      <c r="U39" s="250"/>
      <c r="V39" s="250"/>
      <c r="W39" s="250"/>
    </row>
    <row r="40" spans="1:23" hidden="1">
      <c r="A40" s="251" t="str">
        <f ca="1">IF(DPAA保額="",IF(總檢核,'試算表 (66-70歲)'!A21,""),IF(保費分齡表對應=3,IF(總檢核,'試算表 (66-70歲)'!A21,""),""))</f>
        <v/>
      </c>
      <c r="B40" s="251"/>
      <c r="C40" s="251"/>
      <c r="D40" s="252" t="str">
        <f ca="1">IF(DPAA保額="",IF(總檢核,IF(A39=分齡表最大顯示年齡,"***以下空白***",IF(A40&lt;=分齡表最大顯示年齡,'試算表 (66-70歲)'!B21,"")),""),IF(保費分齡表對應=3,IF(總檢核,IF(A39=分齡表最大顯示年齡,"***以下空白***",IF(A40&lt;=分齡表最大顯示年齡,'試算表 (66-70歲)'!B21,"")),""),""))</f>
        <v/>
      </c>
      <c r="E40" s="252"/>
      <c r="F40" s="252"/>
      <c r="G40" s="250" t="str">
        <f ca="1">IF(DPAA保額="",IF(總檢核,IF($A40="","",SUM('試算表 (66-70歲)'!C21:N21)),""),IF(保費分齡表對應=3,IF(總檢核,IF($A40="","",SUM('試算表 (66-70歲)'!C21:N21)),""),""))</f>
        <v/>
      </c>
      <c r="H40" s="250"/>
      <c r="I40" s="250"/>
      <c r="J40" s="250" t="str">
        <f t="shared" ca="1" si="6"/>
        <v/>
      </c>
      <c r="K40" s="250"/>
      <c r="L40" s="250"/>
      <c r="M40" s="250"/>
      <c r="N40" s="252" t="str">
        <f ca="1">IF(DPAA保額="",IF(總檢核,IF(A40="","",'試算表 (66-70歲)'!O21),""),IF(保費分齡表對應=3,IF(總檢核,IF(A40="","",'試算表 (66-70歲)'!O21),""),""))</f>
        <v/>
      </c>
      <c r="O40" s="252"/>
      <c r="P40" s="252"/>
      <c r="Q40" s="252" t="str">
        <f ca="1">IF(DPAA保額="",IF(總檢核,IF($A40="","",SUM('試算表 (66-70歲)'!P21:AA21)),""),IF(保費分齡表對應=3,IF(總檢核,IF($A40="","",SUM('試算表 (66-70歲)'!P21:AA21)),""),""))</f>
        <v/>
      </c>
      <c r="R40" s="252"/>
      <c r="S40" s="252"/>
      <c r="T40" s="250" t="str">
        <f t="shared" ca="1" si="7"/>
        <v/>
      </c>
      <c r="U40" s="250"/>
      <c r="V40" s="250"/>
      <c r="W40" s="250"/>
    </row>
    <row r="41" spans="1:23" hidden="1">
      <c r="A41" s="251" t="str">
        <f ca="1">IF(DPAA保額="",IF(總檢核,'試算表 (66-70歲)'!A22,""),IF(保費分齡表對應=3,IF(總檢核,'試算表 (66-70歲)'!A22,""),""))</f>
        <v/>
      </c>
      <c r="B41" s="251"/>
      <c r="C41" s="251"/>
      <c r="D41" s="252" t="str">
        <f ca="1">IF(DPAA保額="",IF(總檢核,IF(A40=分齡表最大顯示年齡,"***以下空白***",IF(A41&lt;=分齡表最大顯示年齡,'試算表 (66-70歲)'!B22,"")),""),IF(保費分齡表對應=3,IF(總檢核,IF(A40=分齡表最大顯示年齡,"***以下空白***",IF(A41&lt;=分齡表最大顯示年齡,'試算表 (66-70歲)'!B22,"")),""),""))</f>
        <v/>
      </c>
      <c r="E41" s="252"/>
      <c r="F41" s="252"/>
      <c r="G41" s="250" t="str">
        <f ca="1">IF(DPAA保額="",IF(總檢核,IF($A41="","",SUM('試算表 (66-70歲)'!C22:N22)),""),IF(保費分齡表對應=3,IF(總檢核,IF($A41="","",SUM('試算表 (66-70歲)'!C22:N22)),""),""))</f>
        <v/>
      </c>
      <c r="H41" s="250"/>
      <c r="I41" s="250"/>
      <c r="J41" s="250" t="str">
        <f t="shared" ca="1" si="6"/>
        <v/>
      </c>
      <c r="K41" s="250"/>
      <c r="L41" s="250"/>
      <c r="M41" s="250"/>
      <c r="N41" s="252" t="str">
        <f ca="1">IF(DPAA保額="",IF(總檢核,IF(A41="","",'試算表 (66-70歲)'!O22),""),IF(保費分齡表對應=3,IF(總檢核,IF(A41="","",'試算表 (66-70歲)'!O22),""),""))</f>
        <v/>
      </c>
      <c r="O41" s="252"/>
      <c r="P41" s="252"/>
      <c r="Q41" s="252" t="str">
        <f ca="1">IF(DPAA保額="",IF(總檢核,IF($A41="","",SUM('試算表 (66-70歲)'!P22:AA22)),""),IF(保費分齡表對應=3,IF(總檢核,IF($A41="","",SUM('試算表 (66-70歲)'!P22:AA22)),""),""))</f>
        <v/>
      </c>
      <c r="R41" s="252"/>
      <c r="S41" s="252"/>
      <c r="T41" s="250" t="str">
        <f t="shared" ca="1" si="7"/>
        <v/>
      </c>
      <c r="U41" s="250"/>
      <c r="V41" s="250"/>
      <c r="W41" s="250"/>
    </row>
    <row r="42" spans="1:23" hidden="1">
      <c r="A42" s="251" t="str">
        <f ca="1">IF(DPAA保額="",IF(總檢核,'試算表 (66-70歲)'!A23,""),IF(保費分齡表對應=3,IF(總檢核,'試算表 (66-70歲)'!A23,""),""))</f>
        <v/>
      </c>
      <c r="B42" s="251"/>
      <c r="C42" s="251"/>
      <c r="D42" s="252" t="str">
        <f ca="1">IF(DPAA保額="",IF(總檢核,IF(A41=分齡表最大顯示年齡,"***以下空白***",IF(A42&lt;=分齡表最大顯示年齡,'試算表 (66-70歲)'!B23,"")),""),IF(保費分齡表對應=3,IF(總檢核,IF(A41=分齡表最大顯示年齡,"***以下空白***",IF(A42&lt;=分齡表最大顯示年齡,'試算表 (66-70歲)'!B23,"")),""),""))</f>
        <v/>
      </c>
      <c r="E42" s="252"/>
      <c r="F42" s="252"/>
      <c r="G42" s="250" t="str">
        <f ca="1">IF(DPAA保額="",IF(總檢核,IF($A42="","",SUM('試算表 (66-70歲)'!C23:N23)),""),IF(保費分齡表對應=3,IF(總檢核,IF($A42="","",SUM('試算表 (66-70歲)'!C23:N23)),""),""))</f>
        <v/>
      </c>
      <c r="H42" s="250"/>
      <c r="I42" s="250"/>
      <c r="J42" s="250" t="str">
        <f t="shared" ca="1" si="6"/>
        <v/>
      </c>
      <c r="K42" s="250"/>
      <c r="L42" s="250"/>
      <c r="M42" s="250"/>
      <c r="N42" s="252" t="str">
        <f ca="1">IF(DPAA保額="",IF(總檢核,IF(A42="","",'試算表 (66-70歲)'!O23),""),IF(保費分齡表對應=3,IF(總檢核,IF(A42="","",'試算表 (66-70歲)'!O23),""),""))</f>
        <v/>
      </c>
      <c r="O42" s="252"/>
      <c r="P42" s="252"/>
      <c r="Q42" s="252" t="str">
        <f ca="1">IF(DPAA保額="",IF(總檢核,IF($A42="","",SUM('試算表 (66-70歲)'!P23:AA23)),""),IF(保費分齡表對應=3,IF(總檢核,IF($A42="","",SUM('試算表 (66-70歲)'!P23:AA23)),""),""))</f>
        <v/>
      </c>
      <c r="R42" s="252"/>
      <c r="S42" s="252"/>
      <c r="T42" s="250" t="str">
        <f t="shared" ca="1" si="7"/>
        <v/>
      </c>
      <c r="U42" s="250"/>
      <c r="V42" s="250"/>
      <c r="W42" s="250"/>
    </row>
    <row r="43" spans="1:23" hidden="1">
      <c r="A43" s="254" t="str">
        <f ca="1">IF(DPAA保額="",IF(總檢核,'試算表 (66-70歲)'!A24,""),IF(保費分齡表對應=3,IF(總檢核,'試算表 (66-70歲)'!A24,""),""))</f>
        <v/>
      </c>
      <c r="B43" s="254"/>
      <c r="C43" s="254"/>
      <c r="D43" s="255" t="str">
        <f ca="1">IF(DPAA保額="",IF(總檢核,IF(A42=分齡表最大顯示年齡,"***以下空白***",IF(A43&lt;=分齡表最大顯示年齡,'試算表 (66-70歲)'!B24,"")),""),IF(保費分齡表對應=3,IF(總檢核,IF(A42=分齡表最大顯示年齡,"***以下空白***",IF(A43&lt;=分齡表最大顯示年齡,'試算表 (66-70歲)'!B24,"")),""),""))</f>
        <v/>
      </c>
      <c r="E43" s="255"/>
      <c r="F43" s="255"/>
      <c r="G43" s="253" t="str">
        <f ca="1">IF(DPAA保額="",IF(總檢核,IF($A43="","",SUM('試算表 (66-70歲)'!C24:N24)),""),IF(保費分齡表對應=3,IF(總檢核,IF($A43="","",SUM('試算表 (66-70歲)'!C24:N24)),""),""))</f>
        <v/>
      </c>
      <c r="H43" s="253"/>
      <c r="I43" s="253"/>
      <c r="J43" s="253" t="str">
        <f t="shared" ca="1" si="6"/>
        <v/>
      </c>
      <c r="K43" s="253"/>
      <c r="L43" s="253"/>
      <c r="M43" s="253"/>
      <c r="N43" s="255" t="str">
        <f ca="1">IF(DPAA保額="",IF(總檢核,IF(A43="","",'試算表 (66-70歲)'!O24),""),IF(保費分齡表對應=3,IF(總檢核,IF(A43="","",'試算表 (66-70歲)'!O24),""),""))</f>
        <v/>
      </c>
      <c r="O43" s="255"/>
      <c r="P43" s="255"/>
      <c r="Q43" s="255" t="str">
        <f ca="1">IF(DPAA保額="",IF(總檢核,IF($A43="","",SUM('試算表 (66-70歲)'!P24:AA24)),""),IF(保費分齡表對應=3,IF(總檢核,IF($A43="","",SUM('試算表 (66-70歲)'!P24:AA24)),""),""))</f>
        <v/>
      </c>
      <c r="R43" s="255"/>
      <c r="S43" s="255"/>
      <c r="T43" s="253" t="str">
        <f t="shared" ca="1" si="7"/>
        <v/>
      </c>
      <c r="U43" s="253"/>
      <c r="V43" s="253"/>
      <c r="W43" s="253"/>
    </row>
    <row r="44" spans="1:23" hidden="1">
      <c r="A44" s="251" t="str">
        <f ca="1">IF(DPAA保額="",IF(總檢核,'試算表 (66-70歲)'!A25,""),IF(保費分齡表對應=3,IF(總檢核,'試算表 (66-70歲)'!A25,""),""))</f>
        <v/>
      </c>
      <c r="B44" s="251"/>
      <c r="C44" s="251"/>
      <c r="D44" s="252" t="str">
        <f ca="1">IF(DPAA保額="",IF(總檢核,IF(A43=分齡表最大顯示年齡,"***以下空白***",IF(A44&lt;=分齡表最大顯示年齡,'試算表 (66-70歲)'!B25,"")),""),IF(保費分齡表對應=3,IF(總檢核,IF(A43=分齡表最大顯示年齡,"***以下空白***",IF(A44&lt;=分齡表最大顯示年齡,'試算表 (66-70歲)'!B25,"")),""),""))</f>
        <v/>
      </c>
      <c r="E44" s="252"/>
      <c r="F44" s="252"/>
      <c r="G44" s="250" t="str">
        <f ca="1">IF(DPAA保額="",IF(總檢核,IF($A44="","",SUM('試算表 (66-70歲)'!C25:N25)),""),IF(保費分齡表對應=3,IF(總檢核,IF($A44="","",SUM('試算表 (66-70歲)'!C25:N25)),""),""))</f>
        <v/>
      </c>
      <c r="H44" s="250"/>
      <c r="I44" s="250"/>
      <c r="J44" s="250" t="str">
        <f t="shared" ca="1" si="6"/>
        <v/>
      </c>
      <c r="K44" s="250"/>
      <c r="L44" s="250"/>
      <c r="M44" s="250"/>
      <c r="N44" s="252" t="str">
        <f ca="1">IF(DPAA保額="",IF(總檢核,IF(A44="","",'試算表 (66-70歲)'!O25),""),IF(保費分齡表對應=3,IF(總檢核,IF(A44="","",'試算表 (66-70歲)'!O25),""),""))</f>
        <v/>
      </c>
      <c r="O44" s="252"/>
      <c r="P44" s="252"/>
      <c r="Q44" s="252" t="str">
        <f ca="1">IF(DPAA保額="",IF(總檢核,IF($A44="","",SUM('試算表 (66-70歲)'!P25:AA25)),""),IF(保費分齡表對應=3,IF(總檢核,IF($A44="","",SUM('試算表 (66-70歲)'!P25:AA25)),""),""))</f>
        <v/>
      </c>
      <c r="R44" s="252"/>
      <c r="S44" s="252"/>
      <c r="T44" s="250" t="str">
        <f t="shared" ca="1" si="7"/>
        <v/>
      </c>
      <c r="U44" s="250"/>
      <c r="V44" s="250"/>
      <c r="W44" s="250"/>
    </row>
    <row r="45" spans="1:23" hidden="1">
      <c r="A45" s="251" t="str">
        <f ca="1">IF(DPAA保額="",IF(總檢核,'試算表 (66-70歲)'!A26,""),IF(保費分齡表對應=3,IF(總檢核,'試算表 (66-70歲)'!A26,""),""))</f>
        <v/>
      </c>
      <c r="B45" s="251"/>
      <c r="C45" s="251"/>
      <c r="D45" s="252" t="str">
        <f ca="1">IF(DPAA保額="",IF(總檢核,IF(A44=分齡表最大顯示年齡,"***以下空白***",IF(A45&lt;=分齡表最大顯示年齡,'試算表 (66-70歲)'!B26,"")),""),IF(保費分齡表對應=3,IF(總檢核,IF(A44=分齡表最大顯示年齡,"***以下空白***",IF(A45&lt;=分齡表最大顯示年齡,'試算表 (66-70歲)'!B26,"")),""),""))</f>
        <v/>
      </c>
      <c r="E45" s="252"/>
      <c r="F45" s="252"/>
      <c r="G45" s="250" t="str">
        <f ca="1">IF(DPAA保額="",IF(總檢核,IF($A45="","",SUM('試算表 (66-70歲)'!C26:N26)),""),IF(保費分齡表對應=3,IF(總檢核,IF($A45="","",SUM('試算表 (66-70歲)'!C26:N26)),""),""))</f>
        <v/>
      </c>
      <c r="H45" s="250"/>
      <c r="I45" s="250"/>
      <c r="J45" s="250" t="str">
        <f t="shared" ca="1" si="6"/>
        <v/>
      </c>
      <c r="K45" s="250"/>
      <c r="L45" s="250"/>
      <c r="M45" s="250"/>
      <c r="N45" s="252" t="str">
        <f ca="1">IF(DPAA保額="",IF(總檢核,IF(A45="","",'試算表 (66-70歲)'!O26),""),IF(保費分齡表對應=3,IF(總檢核,IF(A45="","",'試算表 (66-70歲)'!O26),""),""))</f>
        <v/>
      </c>
      <c r="O45" s="252"/>
      <c r="P45" s="252"/>
      <c r="Q45" s="252" t="str">
        <f ca="1">IF(DPAA保額="",IF(總檢核,IF($A45="","",SUM('試算表 (66-70歲)'!P26:AA26)),""),IF(保費分齡表對應=3,IF(總檢核,IF($A45="","",SUM('試算表 (66-70歲)'!P26:AA26)),""),""))</f>
        <v/>
      </c>
      <c r="R45" s="252"/>
      <c r="S45" s="252"/>
      <c r="T45" s="250" t="str">
        <f t="shared" ca="1" si="7"/>
        <v/>
      </c>
      <c r="U45" s="250"/>
      <c r="V45" s="250"/>
      <c r="W45" s="250"/>
    </row>
    <row r="46" spans="1:23" hidden="1">
      <c r="A46" s="251" t="str">
        <f ca="1">IF(DPAA保額="",IF(總檢核,'試算表 (66-70歲)'!A27,""),IF(保費分齡表對應=3,IF(總檢核,'試算表 (66-70歲)'!A27,""),""))</f>
        <v/>
      </c>
      <c r="B46" s="251"/>
      <c r="C46" s="251"/>
      <c r="D46" s="252" t="str">
        <f ca="1">IF(DPAA保額="",IF(總檢核,IF(A45=分齡表最大顯示年齡,"***以下空白***",IF(A46&lt;=分齡表最大顯示年齡,'試算表 (66-70歲)'!B27,"")),""),IF(保費分齡表對應=3,IF(總檢核,IF(A45=分齡表最大顯示年齡,"***以下空白***",IF(A46&lt;=分齡表最大顯示年齡,'試算表 (66-70歲)'!B27,"")),""),""))</f>
        <v/>
      </c>
      <c r="E46" s="252"/>
      <c r="F46" s="252"/>
      <c r="G46" s="250" t="str">
        <f ca="1">IF(DPAA保額="",IF(總檢核,IF($A46="","",SUM('試算表 (66-70歲)'!C27:N27)),""),IF(保費分齡表對應=3,IF(總檢核,IF($A46="","",SUM('試算表 (66-70歲)'!C27:N27)),""),""))</f>
        <v/>
      </c>
      <c r="H46" s="250"/>
      <c r="I46" s="250"/>
      <c r="J46" s="250" t="str">
        <f t="shared" ca="1" si="6"/>
        <v/>
      </c>
      <c r="K46" s="250"/>
      <c r="L46" s="250"/>
      <c r="M46" s="250"/>
      <c r="N46" s="252" t="str">
        <f ca="1">IF(DPAA保額="",IF(總檢核,IF(A46="","",'試算表 (66-70歲)'!O27),""),IF(保費分齡表對應=3,IF(總檢核,IF(A46="","",'試算表 (66-70歲)'!O27),""),""))</f>
        <v/>
      </c>
      <c r="O46" s="252"/>
      <c r="P46" s="252"/>
      <c r="Q46" s="252" t="str">
        <f ca="1">IF(DPAA保額="",IF(總檢核,IF($A46="","",SUM('試算表 (66-70歲)'!P27:AA27)),""),IF(保費分齡表對應=3,IF(總檢核,IF($A46="","",SUM('試算表 (66-70歲)'!P27:AA27)),""),""))</f>
        <v/>
      </c>
      <c r="R46" s="252"/>
      <c r="S46" s="252"/>
      <c r="T46" s="250" t="str">
        <f t="shared" ca="1" si="7"/>
        <v/>
      </c>
      <c r="U46" s="250"/>
      <c r="V46" s="250"/>
      <c r="W46" s="250"/>
    </row>
    <row r="47" spans="1:23" hidden="1">
      <c r="A47" s="251" t="str">
        <f ca="1">IF(DPAA保額="",IF(總檢核,'試算表 (66-70歲)'!A28,""),IF(保費分齡表對應=3,IF(總檢核,'試算表 (66-70歲)'!A28,""),""))</f>
        <v/>
      </c>
      <c r="B47" s="251"/>
      <c r="C47" s="251"/>
      <c r="D47" s="252" t="str">
        <f ca="1">IF(DPAA保額="",IF(總檢核,IF(A46=分齡表最大顯示年齡,"***以下空白***",IF(A47&lt;=分齡表最大顯示年齡,'試算表 (66-70歲)'!B28,"")),""),IF(保費分齡表對應=3,IF(總檢核,IF(A46=分齡表最大顯示年齡,"***以下空白***",IF(A47&lt;=分齡表最大顯示年齡,'試算表 (66-70歲)'!B28,"")),""),""))</f>
        <v/>
      </c>
      <c r="E47" s="252"/>
      <c r="F47" s="252"/>
      <c r="G47" s="250" t="str">
        <f ca="1">IF(DPAA保額="",IF(總檢核,IF($A47="","",SUM('試算表 (66-70歲)'!C28:N28)),""),IF(保費分齡表對應=3,IF(總檢核,IF($A47="","",SUM('試算表 (66-70歲)'!C28:N28)),""),""))</f>
        <v/>
      </c>
      <c r="H47" s="250"/>
      <c r="I47" s="250"/>
      <c r="J47" s="250" t="str">
        <f t="shared" ca="1" si="6"/>
        <v/>
      </c>
      <c r="K47" s="250"/>
      <c r="L47" s="250"/>
      <c r="M47" s="250"/>
      <c r="N47" s="252" t="str">
        <f ca="1">IF(DPAA保額="",IF(總檢核,IF(A47="","",'試算表 (66-70歲)'!O28),""),IF(保費分齡表對應=3,IF(總檢核,IF(A47="","",'試算表 (66-70歲)'!O28),""),""))</f>
        <v/>
      </c>
      <c r="O47" s="252"/>
      <c r="P47" s="252"/>
      <c r="Q47" s="252" t="str">
        <f ca="1">IF(DPAA保額="",IF(總檢核,IF($A47="","",SUM('試算表 (66-70歲)'!P28:AA28)),""),IF(保費分齡表對應=3,IF(總檢核,IF($A47="","",SUM('試算表 (66-70歲)'!P28:AA28)),""),""))</f>
        <v/>
      </c>
      <c r="R47" s="252"/>
      <c r="S47" s="252"/>
      <c r="T47" s="250" t="str">
        <f t="shared" ca="1" si="7"/>
        <v/>
      </c>
      <c r="U47" s="250"/>
      <c r="V47" s="250"/>
      <c r="W47" s="250"/>
    </row>
    <row r="48" spans="1:23" hidden="1">
      <c r="A48" s="254" t="str">
        <f ca="1">IF(DPAA保額="",IF(總檢核,'試算表 (66-70歲)'!A29,""),IF(保費分齡表對應=3,IF(總檢核,'試算表 (66-70歲)'!A29,""),""))</f>
        <v/>
      </c>
      <c r="B48" s="254"/>
      <c r="C48" s="254"/>
      <c r="D48" s="255" t="str">
        <f ca="1">IF(DPAA保額="",IF(總檢核,IF(A47=分齡表最大顯示年齡,"***以下空白***",IF(A48&lt;=分齡表最大顯示年齡,'試算表 (66-70歲)'!B29,"")),""),IF(保費分齡表對應=3,IF(總檢核,IF(A47=分齡表最大顯示年齡,"***以下空白***",IF(A48&lt;=分齡表最大顯示年齡,'試算表 (66-70歲)'!B29,"")),""),""))</f>
        <v/>
      </c>
      <c r="E48" s="255"/>
      <c r="F48" s="255"/>
      <c r="G48" s="253" t="str">
        <f ca="1">IF(DPAA保額="",IF(總檢核,IF($A48="","",SUM('試算表 (66-70歲)'!C29:N29)),""),IF(保費分齡表對應=3,IF(總檢核,IF($A48="","",SUM('試算表 (66-70歲)'!C29:N29)),""),""))</f>
        <v/>
      </c>
      <c r="H48" s="253"/>
      <c r="I48" s="253"/>
      <c r="J48" s="253" t="str">
        <f t="shared" ca="1" si="6"/>
        <v/>
      </c>
      <c r="K48" s="253"/>
      <c r="L48" s="253"/>
      <c r="M48" s="253"/>
      <c r="N48" s="255" t="str">
        <f ca="1">IF(DPAA保額="",IF(總檢核,IF(A48="","",'試算表 (66-70歲)'!O29),""),IF(保費分齡表對應=3,IF(總檢核,IF(A48="","",'試算表 (66-70歲)'!O29),""),""))</f>
        <v/>
      </c>
      <c r="O48" s="255"/>
      <c r="P48" s="255"/>
      <c r="Q48" s="255" t="str">
        <f ca="1">IF(DPAA保額="",IF(總檢核,IF($A48="","",SUM('試算表 (66-70歲)'!P29:AA29)),""),IF(保費分齡表對應=3,IF(總檢核,IF($A48="","",SUM('試算表 (66-70歲)'!P29:AA29)),""),""))</f>
        <v/>
      </c>
      <c r="R48" s="255"/>
      <c r="S48" s="255"/>
      <c r="T48" s="253" t="str">
        <f t="shared" ca="1" si="7"/>
        <v/>
      </c>
      <c r="U48" s="253"/>
      <c r="V48" s="253"/>
      <c r="W48" s="253"/>
    </row>
    <row r="49" spans="1:23" hidden="1">
      <c r="A49" s="251" t="str">
        <f ca="1">IF(DPAA保額="",IF(總檢核,'試算表 (66-70歲)'!A30,""),IF(保費分齡表對應=3,IF(總檢核,'試算表 (66-70歲)'!A30,""),""))</f>
        <v/>
      </c>
      <c r="B49" s="251"/>
      <c r="C49" s="251"/>
      <c r="D49" s="252" t="str">
        <f ca="1">IF(DPAA保額="",IF(總檢核,IF(A48=分齡表最大顯示年齡,"***以下空白***",IF(A49&lt;=分齡表最大顯示年齡,'試算表 (66-70歲)'!B30,"")),""),IF(保費分齡表對應=3,IF(總檢核,IF(A48=分齡表最大顯示年齡,"***以下空白***",IF(A49&lt;=分齡表最大顯示年齡,'試算表 (66-70歲)'!B30,"")),""),""))</f>
        <v/>
      </c>
      <c r="E49" s="252"/>
      <c r="F49" s="252"/>
      <c r="G49" s="250" t="str">
        <f ca="1">IF(DPAA保額="",IF(總檢核,IF($A49="","",SUM('試算表 (66-70歲)'!C30:N30)),""),IF(保費分齡表對應=3,IF(總檢核,IF($A49="","",SUM('試算表 (66-70歲)'!C30:N30)),""),""))</f>
        <v/>
      </c>
      <c r="H49" s="250"/>
      <c r="I49" s="250"/>
      <c r="J49" s="250" t="str">
        <f t="shared" ca="1" si="6"/>
        <v/>
      </c>
      <c r="K49" s="250"/>
      <c r="L49" s="250"/>
      <c r="M49" s="250"/>
      <c r="N49" s="252" t="str">
        <f ca="1">IF(DPAA保額="",IF(總檢核,IF(A49="","",'試算表 (66-70歲)'!O30),""),IF(保費分齡表對應=3,IF(總檢核,IF(A49="","",'試算表 (66-70歲)'!O30),""),""))</f>
        <v/>
      </c>
      <c r="O49" s="252"/>
      <c r="P49" s="252"/>
      <c r="Q49" s="252" t="str">
        <f ca="1">IF(DPAA保額="",IF(總檢核,IF($A49="","",SUM('試算表 (66-70歲)'!P30:AA30)),""),IF(保費分齡表對應=3,IF(總檢核,IF($A49="","",SUM('試算表 (66-70歲)'!P30:AA30)),""),""))</f>
        <v/>
      </c>
      <c r="R49" s="252"/>
      <c r="S49" s="252"/>
      <c r="T49" s="250" t="str">
        <f t="shared" ca="1" si="7"/>
        <v/>
      </c>
      <c r="U49" s="250"/>
      <c r="V49" s="250"/>
      <c r="W49" s="250"/>
    </row>
    <row r="50" spans="1:23" hidden="1">
      <c r="A50" s="251" t="str">
        <f ca="1">IF(DPAA保額="",IF(總檢核,'試算表 (66-70歲)'!A31,""),IF(保費分齡表對應=3,IF(總檢核,'試算表 (66-70歲)'!A31,""),""))</f>
        <v/>
      </c>
      <c r="B50" s="251"/>
      <c r="C50" s="251"/>
      <c r="D50" s="252" t="str">
        <f ca="1">IF(DPAA保額="",IF(總檢核,IF(A49=分齡表最大顯示年齡,"***以下空白***",IF(A50&lt;=分齡表最大顯示年齡,'試算表 (66-70歲)'!B31,"")),""),IF(保費分齡表對應=3,IF(總檢核,IF(A49=分齡表最大顯示年齡,"***以下空白***",IF(A50&lt;=分齡表最大顯示年齡,'試算表 (66-70歲)'!B31,"")),""),""))</f>
        <v/>
      </c>
      <c r="E50" s="252"/>
      <c r="F50" s="252"/>
      <c r="G50" s="250" t="str">
        <f ca="1">IF(DPAA保額="",IF(總檢核,IF($A50="","",SUM('試算表 (66-70歲)'!C31:N31)),""),IF(保費分齡表對應=3,IF(總檢核,IF($A50="","",SUM('試算表 (66-70歲)'!C31:N31)),""),""))</f>
        <v/>
      </c>
      <c r="H50" s="250"/>
      <c r="I50" s="250"/>
      <c r="J50" s="250" t="str">
        <f t="shared" ca="1" si="6"/>
        <v/>
      </c>
      <c r="K50" s="250"/>
      <c r="L50" s="250"/>
      <c r="M50" s="250"/>
      <c r="N50" s="252" t="str">
        <f ca="1">IF(DPAA保額="",IF(總檢核,IF(A50="","",'試算表 (66-70歲)'!O31),""),IF(保費分齡表對應=3,IF(總檢核,IF(A50="","",'試算表 (66-70歲)'!O31),""),""))</f>
        <v/>
      </c>
      <c r="O50" s="252"/>
      <c r="P50" s="252"/>
      <c r="Q50" s="252" t="str">
        <f ca="1">IF(DPAA保額="",IF(總檢核,IF($A50="","",SUM('試算表 (66-70歲)'!P31:AA31)),""),IF(保費分齡表對應=3,IF(總檢核,IF($A50="","",SUM('試算表 (66-70歲)'!P31:AA31)),""),""))</f>
        <v/>
      </c>
      <c r="R50" s="252"/>
      <c r="S50" s="252"/>
      <c r="T50" s="250" t="str">
        <f t="shared" ca="1" si="7"/>
        <v/>
      </c>
      <c r="U50" s="250"/>
      <c r="V50" s="250"/>
      <c r="W50" s="250"/>
    </row>
    <row r="51" spans="1:23" hidden="1">
      <c r="A51" s="251" t="str">
        <f ca="1">IF(DPAA保額="",IF(總檢核,'試算表 (66-70歲)'!A32,""),IF(保費分齡表對應=3,IF(總檢核,'試算表 (66-70歲)'!A32,""),""))</f>
        <v/>
      </c>
      <c r="B51" s="251"/>
      <c r="C51" s="251"/>
      <c r="D51" s="252" t="str">
        <f ca="1">IF(DPAA保額="",IF(總檢核,IF(A50=分齡表最大顯示年齡,"***以下空白***",IF(A51&lt;=分齡表最大顯示年齡,'試算表 (66-70歲)'!B32,"")),""),IF(保費分齡表對應=3,IF(總檢核,IF(A50=分齡表最大顯示年齡,"***以下空白***",IF(A51&lt;=分齡表最大顯示年齡,'試算表 (66-70歲)'!B32,"")),""),""))</f>
        <v/>
      </c>
      <c r="E51" s="252"/>
      <c r="F51" s="252"/>
      <c r="G51" s="250" t="str">
        <f ca="1">IF(DPAA保額="",IF(總檢核,IF($A51="","",SUM('試算表 (66-70歲)'!C32:N32)),""),IF(保費分齡表對應=3,IF(總檢核,IF($A51="","",SUM('試算表 (66-70歲)'!C32:N32)),""),""))</f>
        <v/>
      </c>
      <c r="H51" s="250"/>
      <c r="I51" s="250"/>
      <c r="J51" s="250" t="str">
        <f t="shared" ca="1" si="6"/>
        <v/>
      </c>
      <c r="K51" s="250"/>
      <c r="L51" s="250"/>
      <c r="M51" s="250"/>
      <c r="N51" s="252" t="str">
        <f ca="1">IF(DPAA保額="",IF(總檢核,IF(A51="","",'試算表 (66-70歲)'!O32),""),IF(保費分齡表對應=3,IF(總檢核,IF(A51="","",'試算表 (66-70歲)'!O32),""),""))</f>
        <v/>
      </c>
      <c r="O51" s="252"/>
      <c r="P51" s="252"/>
      <c r="Q51" s="252" t="str">
        <f ca="1">IF(DPAA保額="",IF(總檢核,IF($A51="","",SUM('試算表 (66-70歲)'!P32:AA32)),""),IF(保費分齡表對應=3,IF(總檢核,IF($A51="","",SUM('試算表 (66-70歲)'!P32:AA32)),""),""))</f>
        <v/>
      </c>
      <c r="R51" s="252"/>
      <c r="S51" s="252"/>
      <c r="T51" s="250" t="str">
        <f t="shared" ca="1" si="7"/>
        <v/>
      </c>
      <c r="U51" s="250"/>
      <c r="V51" s="250"/>
      <c r="W51" s="250"/>
    </row>
    <row r="52" spans="1:23" hidden="1">
      <c r="A52" s="251" t="str">
        <f ca="1">IF(DPAA保額="",IF(總檢核,'試算表 (66-70歲)'!A33,""),IF(保費分齡表對應=3,IF(總檢核,'試算表 (66-70歲)'!A33,""),""))</f>
        <v/>
      </c>
      <c r="B52" s="251"/>
      <c r="C52" s="251"/>
      <c r="D52" s="252" t="str">
        <f ca="1">IF(DPAA保額="",IF(總檢核,IF(A51=分齡表最大顯示年齡,"***以下空白***",IF(A52&lt;=分齡表最大顯示年齡,'試算表 (66-70歲)'!B33,"")),""),IF(保費分齡表對應=3,IF(總檢核,IF(A51=分齡表最大顯示年齡,"***以下空白***",IF(A52&lt;=分齡表最大顯示年齡,'試算表 (66-70歲)'!B33,"")),""),""))</f>
        <v/>
      </c>
      <c r="E52" s="252"/>
      <c r="F52" s="252"/>
      <c r="G52" s="250" t="str">
        <f ca="1">IF(DPAA保額="",IF(總檢核,IF($A52="","",SUM('試算表 (66-70歲)'!C33:N33)),""),IF(保費分齡表對應=3,IF(總檢核,IF($A52="","",SUM('試算表 (66-70歲)'!C33:N33)),""),""))</f>
        <v/>
      </c>
      <c r="H52" s="250"/>
      <c r="I52" s="250"/>
      <c r="J52" s="250" t="str">
        <f t="shared" ca="1" si="6"/>
        <v/>
      </c>
      <c r="K52" s="250"/>
      <c r="L52" s="250"/>
      <c r="M52" s="250"/>
      <c r="N52" s="252" t="str">
        <f ca="1">IF(DPAA保額="",IF(總檢核,IF(A52="","",'試算表 (66-70歲)'!O33),""),IF(保費分齡表對應=3,IF(總檢核,IF(A52="","",'試算表 (66-70歲)'!O33),""),""))</f>
        <v/>
      </c>
      <c r="O52" s="252"/>
      <c r="P52" s="252"/>
      <c r="Q52" s="252" t="str">
        <f ca="1">IF(DPAA保額="",IF(總檢核,IF($A52="","",SUM('試算表 (66-70歲)'!P33:AA33)),""),IF(保費分齡表對應=3,IF(總檢核,IF($A52="","",SUM('試算表 (66-70歲)'!P33:AA33)),""),""))</f>
        <v/>
      </c>
      <c r="R52" s="252"/>
      <c r="S52" s="252"/>
      <c r="T52" s="250" t="str">
        <f t="shared" ca="1" si="7"/>
        <v/>
      </c>
      <c r="U52" s="250"/>
      <c r="V52" s="250"/>
      <c r="W52" s="250"/>
    </row>
    <row r="53" spans="1:23" hidden="1">
      <c r="A53" s="254" t="str">
        <f ca="1">IF(DPAA保額="",IF(總檢核,'試算表 (66-70歲)'!A34,""),IF(保費分齡表對應=3,IF(總檢核,'試算表 (66-70歲)'!A34,""),""))</f>
        <v/>
      </c>
      <c r="B53" s="254"/>
      <c r="C53" s="254"/>
      <c r="D53" s="255" t="str">
        <f ca="1">IF(DPAA保額="",IF(總檢核,IF(A52=分齡表最大顯示年齡,"***以下空白***",IF(A53&lt;=分齡表最大顯示年齡,'試算表 (66-70歲)'!B34,"")),""),IF(保費分齡表對應=3,IF(總檢核,IF(A52=分齡表最大顯示年齡,"***以下空白***",IF(A53&lt;=分齡表最大顯示年齡,'試算表 (66-70歲)'!B34,"")),""),""))</f>
        <v/>
      </c>
      <c r="E53" s="255"/>
      <c r="F53" s="255"/>
      <c r="G53" s="253" t="str">
        <f ca="1">IF(DPAA保額="",IF(總檢核,IF($A53="","",SUM('試算表 (66-70歲)'!C34:N34)),""),IF(保費分齡表對應=3,IF(總檢核,IF($A53="","",SUM('試算表 (66-70歲)'!C34:N34)),""),""))</f>
        <v/>
      </c>
      <c r="H53" s="253"/>
      <c r="I53" s="253"/>
      <c r="J53" s="253" t="str">
        <f t="shared" ca="1" si="6"/>
        <v/>
      </c>
      <c r="K53" s="253"/>
      <c r="L53" s="253"/>
      <c r="M53" s="253"/>
      <c r="N53" s="255" t="str">
        <f ca="1">IF(DPAA保額="",IF(總檢核,IF(A53="","",'試算表 (66-70歲)'!O34),""),IF(保費分齡表對應=3,IF(總檢核,IF(A53="","",'試算表 (66-70歲)'!O34),""),""))</f>
        <v/>
      </c>
      <c r="O53" s="255"/>
      <c r="P53" s="255"/>
      <c r="Q53" s="255" t="str">
        <f ca="1">IF(DPAA保額="",IF(總檢核,IF($A53="","",SUM('試算表 (66-70歲)'!P34:AA34)),""),IF(保費分齡表對應=3,IF(總檢核,IF($A53="","",SUM('試算表 (66-70歲)'!P34:AA34)),""),""))</f>
        <v/>
      </c>
      <c r="R53" s="255"/>
      <c r="S53" s="255"/>
      <c r="T53" s="253" t="str">
        <f t="shared" ca="1" si="7"/>
        <v/>
      </c>
      <c r="U53" s="253"/>
      <c r="V53" s="253"/>
      <c r="W53" s="253"/>
    </row>
    <row r="54" spans="1:23" hidden="1">
      <c r="A54" s="251" t="str">
        <f ca="1">IF(DPAA保額="",IF(總檢核,'試算表 (66-70歲)'!A35,""),IF(保費分齡表對應=3,IF(總檢核,'試算表 (66-70歲)'!A35,""),""))</f>
        <v/>
      </c>
      <c r="B54" s="251"/>
      <c r="C54" s="251"/>
      <c r="D54" s="252" t="str">
        <f ca="1">IF(DPAA保額="",IF(總檢核,IF(A53=分齡表最大顯示年齡,"***以下空白***",IF(A54&lt;=分齡表最大顯示年齡,'試算表 (66-70歲)'!B35,"")),""),IF(保費分齡表對應=3,IF(總檢核,IF(A53=分齡表最大顯示年齡,"***以下空白***",IF(A54&lt;=分齡表最大顯示年齡,'試算表 (66-70歲)'!B35,"")),""),""))</f>
        <v/>
      </c>
      <c r="E54" s="252"/>
      <c r="F54" s="252"/>
      <c r="G54" s="250" t="str">
        <f ca="1">IF(DPAA保額="",IF(總檢核,IF($A54="","",SUM('試算表 (66-70歲)'!C35:N35)),""),IF(保費分齡表對應=3,IF(總檢核,IF($A54="","",SUM('試算表 (66-70歲)'!C35:N35)),""),""))</f>
        <v/>
      </c>
      <c r="H54" s="250"/>
      <c r="I54" s="250"/>
      <c r="J54" s="250" t="str">
        <f t="shared" ca="1" si="6"/>
        <v/>
      </c>
      <c r="K54" s="250"/>
      <c r="L54" s="250"/>
      <c r="M54" s="250"/>
      <c r="N54" s="252" t="str">
        <f ca="1">IF(DPAA保額="",IF(總檢核,IF(A54="","",'試算表 (66-70歲)'!O35),""),IF(保費分齡表對應=3,IF(總檢核,IF(A54="","",'試算表 (66-70歲)'!O35),""),""))</f>
        <v/>
      </c>
      <c r="O54" s="252"/>
      <c r="P54" s="252"/>
      <c r="Q54" s="252" t="str">
        <f ca="1">IF(DPAA保額="",IF(總檢核,IF($A54="","",SUM('試算表 (66-70歲)'!P35:AA35)),""),IF(保費分齡表對應=3,IF(總檢核,IF($A54="","",SUM('試算表 (66-70歲)'!P35:AA35)),""),""))</f>
        <v/>
      </c>
      <c r="R54" s="252"/>
      <c r="S54" s="252"/>
      <c r="T54" s="250" t="str">
        <f t="shared" ca="1" si="7"/>
        <v/>
      </c>
      <c r="U54" s="250"/>
      <c r="V54" s="250"/>
      <c r="W54" s="250"/>
    </row>
    <row r="55" spans="1:23" hidden="1">
      <c r="A55" s="251" t="str">
        <f ca="1">IF(DPAA保額="",IF(總檢核,'試算表 (66-70歲)'!A36,""),IF(保費分齡表對應=3,IF(總檢核,'試算表 (66-70歲)'!A36,""),""))</f>
        <v/>
      </c>
      <c r="B55" s="251"/>
      <c r="C55" s="251"/>
      <c r="D55" s="252" t="str">
        <f ca="1">IF(DPAA保額="",IF(總檢核,IF(A54=分齡表最大顯示年齡,"***以下空白***",IF(A55&lt;=分齡表最大顯示年齡,'試算表 (66-70歲)'!B36,"")),""),IF(保費分齡表對應=3,IF(總檢核,IF(A54=分齡表最大顯示年齡,"***以下空白***",IF(A55&lt;=分齡表最大顯示年齡,'試算表 (66-70歲)'!B36,"")),""),""))</f>
        <v/>
      </c>
      <c r="E55" s="252"/>
      <c r="F55" s="252"/>
      <c r="G55" s="250" t="str">
        <f ca="1">IF(DPAA保額="",IF(總檢核,IF($A55="","",SUM('試算表 (66-70歲)'!C36:N36)),""),IF(保費分齡表對應=3,IF(總檢核,IF($A55="","",SUM('試算表 (66-70歲)'!C36:N36)),""),""))</f>
        <v/>
      </c>
      <c r="H55" s="250"/>
      <c r="I55" s="250"/>
      <c r="J55" s="250" t="str">
        <f t="shared" ref="J55:J86" ca="1" si="8">IF(DPAA保額="",IF(總檢核,IF($A55="","",D55+G55),""),IF(保費分齡表對應=3,IF(總檢核,IF($A55="","",D55+G55),""),""))</f>
        <v/>
      </c>
      <c r="K55" s="250"/>
      <c r="L55" s="250"/>
      <c r="M55" s="250"/>
      <c r="N55" s="252" t="str">
        <f ca="1">IF(DPAA保額="",IF(總檢核,IF(A55="","",'試算表 (66-70歲)'!O36),""),IF(保費分齡表對應=3,IF(總檢核,IF(A55="","",'試算表 (66-70歲)'!O36),""),""))</f>
        <v/>
      </c>
      <c r="O55" s="252"/>
      <c r="P55" s="252"/>
      <c r="Q55" s="252" t="str">
        <f ca="1">IF(DPAA保額="",IF(總檢核,IF($A55="","",SUM('試算表 (66-70歲)'!P36:AA36)),""),IF(保費分齡表對應=3,IF(總檢核,IF($A55="","",SUM('試算表 (66-70歲)'!P36:AA36)),""),""))</f>
        <v/>
      </c>
      <c r="R55" s="252"/>
      <c r="S55" s="252"/>
      <c r="T55" s="250" t="str">
        <f t="shared" ref="T55:T86" ca="1" si="9">IF(DPAA保額="",IF(總檢核,IF($A55="","",N55+Q55),""),IF(保費分齡表對應=3,IF(總檢核,IF($A55="","",N55+Q55),""),""))</f>
        <v/>
      </c>
      <c r="U55" s="250"/>
      <c r="V55" s="250"/>
      <c r="W55" s="250"/>
    </row>
    <row r="56" spans="1:23" hidden="1">
      <c r="A56" s="251" t="str">
        <f ca="1">IF(DPAA保額="",IF(總檢核,'試算表 (66-70歲)'!A37,""),IF(保費分齡表對應=3,IF(總檢核,'試算表 (66-70歲)'!A37,""),""))</f>
        <v/>
      </c>
      <c r="B56" s="251"/>
      <c r="C56" s="251"/>
      <c r="D56" s="252" t="str">
        <f ca="1">IF(DPAA保額="",IF(總檢核,IF(A55=分齡表最大顯示年齡,"***以下空白***",IF(A56&lt;=分齡表最大顯示年齡,'試算表 (66-70歲)'!B37,"")),""),IF(保費分齡表對應=3,IF(總檢核,IF(A55=分齡表最大顯示年齡,"***以下空白***",IF(A56&lt;=分齡表最大顯示年齡,'試算表 (66-70歲)'!B37,"")),""),""))</f>
        <v/>
      </c>
      <c r="E56" s="252"/>
      <c r="F56" s="252"/>
      <c r="G56" s="250" t="str">
        <f ca="1">IF(DPAA保額="",IF(總檢核,IF($A56="","",SUM('試算表 (66-70歲)'!C37:N37)),""),IF(保費分齡表對應=3,IF(總檢核,IF($A56="","",SUM('試算表 (66-70歲)'!C37:N37)),""),""))</f>
        <v/>
      </c>
      <c r="H56" s="250"/>
      <c r="I56" s="250"/>
      <c r="J56" s="250" t="str">
        <f t="shared" ca="1" si="8"/>
        <v/>
      </c>
      <c r="K56" s="250"/>
      <c r="L56" s="250"/>
      <c r="M56" s="250"/>
      <c r="N56" s="252" t="str">
        <f ca="1">IF(DPAA保額="",IF(總檢核,IF(A56="","",'試算表 (66-70歲)'!O37),""),IF(保費分齡表對應=3,IF(總檢核,IF(A56="","",'試算表 (66-70歲)'!O37),""),""))</f>
        <v/>
      </c>
      <c r="O56" s="252"/>
      <c r="P56" s="252"/>
      <c r="Q56" s="252" t="str">
        <f ca="1">IF(DPAA保額="",IF(總檢核,IF($A56="","",SUM('試算表 (66-70歲)'!P37:AA37)),""),IF(保費分齡表對應=3,IF(總檢核,IF($A56="","",SUM('試算表 (66-70歲)'!P37:AA37)),""),""))</f>
        <v/>
      </c>
      <c r="R56" s="252"/>
      <c r="S56" s="252"/>
      <c r="T56" s="250" t="str">
        <f t="shared" ca="1" si="9"/>
        <v/>
      </c>
      <c r="U56" s="250"/>
      <c r="V56" s="250"/>
      <c r="W56" s="250"/>
    </row>
    <row r="57" spans="1:23" hidden="1">
      <c r="A57" s="251" t="str">
        <f ca="1">IF(DPAA保額="",IF(總檢核,'試算表 (66-70歲)'!A38,""),IF(保費分齡表對應=3,IF(總檢核,'試算表 (66-70歲)'!A38,""),""))</f>
        <v/>
      </c>
      <c r="B57" s="251"/>
      <c r="C57" s="251"/>
      <c r="D57" s="252" t="str">
        <f ca="1">IF(DPAA保額="",IF(總檢核,IF(A56=分齡表最大顯示年齡,"***以下空白***",IF(A57&lt;=分齡表最大顯示年齡,'試算表 (66-70歲)'!B38,"")),""),IF(保費分齡表對應=3,IF(總檢核,IF(A56=分齡表最大顯示年齡,"***以下空白***",IF(A57&lt;=分齡表最大顯示年齡,'試算表 (66-70歲)'!B38,"")),""),""))</f>
        <v/>
      </c>
      <c r="E57" s="252"/>
      <c r="F57" s="252"/>
      <c r="G57" s="250" t="str">
        <f ca="1">IF(DPAA保額="",IF(總檢核,IF($A57="","",SUM('試算表 (66-70歲)'!C38:N38)),""),IF(保費分齡表對應=3,IF(總檢核,IF($A57="","",SUM('試算表 (66-70歲)'!C38:N38)),""),""))</f>
        <v/>
      </c>
      <c r="H57" s="250"/>
      <c r="I57" s="250"/>
      <c r="J57" s="250" t="str">
        <f t="shared" ca="1" si="8"/>
        <v/>
      </c>
      <c r="K57" s="250"/>
      <c r="L57" s="250"/>
      <c r="M57" s="250"/>
      <c r="N57" s="252" t="str">
        <f ca="1">IF(DPAA保額="",IF(總檢核,IF(A57="","",'試算表 (66-70歲)'!O38),""),IF(保費分齡表對應=3,IF(總檢核,IF(A57="","",'試算表 (66-70歲)'!O38),""),""))</f>
        <v/>
      </c>
      <c r="O57" s="252"/>
      <c r="P57" s="252"/>
      <c r="Q57" s="252" t="str">
        <f ca="1">IF(DPAA保額="",IF(總檢核,IF($A57="","",SUM('試算表 (66-70歲)'!P38:AA38)),""),IF(保費分齡表對應=3,IF(總檢核,IF($A57="","",SUM('試算表 (66-70歲)'!P38:AA38)),""),""))</f>
        <v/>
      </c>
      <c r="R57" s="252"/>
      <c r="S57" s="252"/>
      <c r="T57" s="250" t="str">
        <f t="shared" ca="1" si="9"/>
        <v/>
      </c>
      <c r="U57" s="250"/>
      <c r="V57" s="250"/>
      <c r="W57" s="250"/>
    </row>
    <row r="58" spans="1:23" hidden="1">
      <c r="A58" s="254" t="str">
        <f ca="1">IF(DPAA保額="",IF(總檢核,'試算表 (66-70歲)'!A39,""),IF(保費分齡表對應=3,IF(總檢核,'試算表 (66-70歲)'!A39,""),""))</f>
        <v/>
      </c>
      <c r="B58" s="254"/>
      <c r="C58" s="254"/>
      <c r="D58" s="255" t="str">
        <f ca="1">IF(DPAA保額="",IF(總檢核,IF(A57=分齡表最大顯示年齡,"***以下空白***",IF(A58&lt;=分齡表最大顯示年齡,'試算表 (66-70歲)'!B39,"")),""),IF(保費分齡表對應=3,IF(總檢核,IF(A57=分齡表最大顯示年齡,"***以下空白***",IF(A58&lt;=分齡表最大顯示年齡,'試算表 (66-70歲)'!B39,"")),""),""))</f>
        <v/>
      </c>
      <c r="E58" s="255"/>
      <c r="F58" s="255"/>
      <c r="G58" s="253" t="str">
        <f ca="1">IF(DPAA保額="",IF(總檢核,IF($A58="","",SUM('試算表 (66-70歲)'!C39:N39)),""),IF(保費分齡表對應=3,IF(總檢核,IF($A58="","",SUM('試算表 (66-70歲)'!C39:N39)),""),""))</f>
        <v/>
      </c>
      <c r="H58" s="253"/>
      <c r="I58" s="253"/>
      <c r="J58" s="253" t="str">
        <f t="shared" ca="1" si="8"/>
        <v/>
      </c>
      <c r="K58" s="253"/>
      <c r="L58" s="253"/>
      <c r="M58" s="253"/>
      <c r="N58" s="255" t="str">
        <f ca="1">IF(DPAA保額="",IF(總檢核,IF(A58="","",'試算表 (66-70歲)'!O39),""),IF(保費分齡表對應=3,IF(總檢核,IF(A58="","",'試算表 (66-70歲)'!O39),""),""))</f>
        <v/>
      </c>
      <c r="O58" s="255"/>
      <c r="P58" s="255"/>
      <c r="Q58" s="255" t="str">
        <f ca="1">IF(DPAA保額="",IF(總檢核,IF($A58="","",SUM('試算表 (66-70歲)'!P39:AA39)),""),IF(保費分齡表對應=3,IF(總檢核,IF($A58="","",SUM('試算表 (66-70歲)'!P39:AA39)),""),""))</f>
        <v/>
      </c>
      <c r="R58" s="255"/>
      <c r="S58" s="255"/>
      <c r="T58" s="253" t="str">
        <f t="shared" ca="1" si="9"/>
        <v/>
      </c>
      <c r="U58" s="253"/>
      <c r="V58" s="253"/>
      <c r="W58" s="253"/>
    </row>
    <row r="59" spans="1:23" hidden="1">
      <c r="A59" s="251" t="str">
        <f ca="1">IF(DPAA保額="",IF(總檢核,'試算表 (66-70歲)'!A40,""),IF(保費分齡表對應=3,IF(總檢核,'試算表 (66-70歲)'!A40,""),""))</f>
        <v/>
      </c>
      <c r="B59" s="251"/>
      <c r="C59" s="251"/>
      <c r="D59" s="252" t="str">
        <f ca="1">IF(DPAA保額="",IF(總檢核,IF(A58=分齡表最大顯示年齡,"***以下空白***",IF(A59&lt;=分齡表最大顯示年齡,'試算表 (66-70歲)'!B40,"")),""),IF(保費分齡表對應=3,IF(總檢核,IF(A58=分齡表最大顯示年齡,"***以下空白***",IF(A59&lt;=分齡表最大顯示年齡,'試算表 (66-70歲)'!B40,"")),""),""))</f>
        <v/>
      </c>
      <c r="E59" s="252"/>
      <c r="F59" s="252"/>
      <c r="G59" s="250" t="str">
        <f ca="1">IF(DPAA保額="",IF(總檢核,IF($A59="","",SUM('試算表 (66-70歲)'!C40:N40)),""),IF(保費分齡表對應=3,IF(總檢核,IF($A59="","",SUM('試算表 (66-70歲)'!C40:N40)),""),""))</f>
        <v/>
      </c>
      <c r="H59" s="250"/>
      <c r="I59" s="250"/>
      <c r="J59" s="250" t="str">
        <f t="shared" ca="1" si="8"/>
        <v/>
      </c>
      <c r="K59" s="250"/>
      <c r="L59" s="250"/>
      <c r="M59" s="250"/>
      <c r="N59" s="252" t="str">
        <f ca="1">IF(DPAA保額="",IF(總檢核,IF(A59="","",'試算表 (66-70歲)'!O40),""),IF(保費分齡表對應=3,IF(總檢核,IF(A59="","",'試算表 (66-70歲)'!O40),""),""))</f>
        <v/>
      </c>
      <c r="O59" s="252"/>
      <c r="P59" s="252"/>
      <c r="Q59" s="252" t="str">
        <f ca="1">IF(DPAA保額="",IF(總檢核,IF($A59="","",SUM('試算表 (66-70歲)'!P40:AA40)),""),IF(保費分齡表對應=3,IF(總檢核,IF($A59="","",SUM('試算表 (66-70歲)'!P40:AA40)),""),""))</f>
        <v/>
      </c>
      <c r="R59" s="252"/>
      <c r="S59" s="252"/>
      <c r="T59" s="250" t="str">
        <f t="shared" ca="1" si="9"/>
        <v/>
      </c>
      <c r="U59" s="250"/>
      <c r="V59" s="250"/>
      <c r="W59" s="250"/>
    </row>
    <row r="60" spans="1:23" hidden="1">
      <c r="A60" s="251" t="str">
        <f ca="1">IF(DPAA保額="",IF(總檢核,'試算表 (66-70歲)'!A41,""),IF(保費分齡表對應=3,IF(總檢核,'試算表 (66-70歲)'!A41,""),""))</f>
        <v/>
      </c>
      <c r="B60" s="251"/>
      <c r="C60" s="251"/>
      <c r="D60" s="252" t="str">
        <f ca="1">IF(DPAA保額="",IF(總檢核,IF(A59=分齡表最大顯示年齡,"***以下空白***",IF(A60&lt;=分齡表最大顯示年齡,'試算表 (66-70歲)'!B41,"")),""),IF(保費分齡表對應=3,IF(總檢核,IF(A59=分齡表最大顯示年齡,"***以下空白***",IF(A60&lt;=分齡表最大顯示年齡,'試算表 (66-70歲)'!B41,"")),""),""))</f>
        <v/>
      </c>
      <c r="E60" s="252"/>
      <c r="F60" s="252"/>
      <c r="G60" s="250" t="str">
        <f ca="1">IF(DPAA保額="",IF(總檢核,IF($A60="","",SUM('試算表 (66-70歲)'!C41:N41)),""),IF(保費分齡表對應=3,IF(總檢核,IF($A60="","",SUM('試算表 (66-70歲)'!C41:N41)),""),""))</f>
        <v/>
      </c>
      <c r="H60" s="250"/>
      <c r="I60" s="250"/>
      <c r="J60" s="250" t="str">
        <f t="shared" ca="1" si="8"/>
        <v/>
      </c>
      <c r="K60" s="250"/>
      <c r="L60" s="250"/>
      <c r="M60" s="250"/>
      <c r="N60" s="252" t="str">
        <f ca="1">IF(DPAA保額="",IF(總檢核,IF(A60="","",'試算表 (66-70歲)'!O41),""),IF(保費分齡表對應=3,IF(總檢核,IF(A60="","",'試算表 (66-70歲)'!O41),""),""))</f>
        <v/>
      </c>
      <c r="O60" s="252"/>
      <c r="P60" s="252"/>
      <c r="Q60" s="252" t="str">
        <f ca="1">IF(DPAA保額="",IF(總檢核,IF($A60="","",SUM('試算表 (66-70歲)'!P41:AA41)),""),IF(保費分齡表對應=3,IF(總檢核,IF($A60="","",SUM('試算表 (66-70歲)'!P41:AA41)),""),""))</f>
        <v/>
      </c>
      <c r="R60" s="252"/>
      <c r="S60" s="252"/>
      <c r="T60" s="250" t="str">
        <f t="shared" ca="1" si="9"/>
        <v/>
      </c>
      <c r="U60" s="250"/>
      <c r="V60" s="250"/>
      <c r="W60" s="250"/>
    </row>
    <row r="61" spans="1:23" hidden="1">
      <c r="A61" s="251" t="str">
        <f ca="1">IF(DPAA保額="",IF(總檢核,'試算表 (66-70歲)'!A42,""),IF(保費分齡表對應=3,IF(總檢核,'試算表 (66-70歲)'!A42,""),""))</f>
        <v/>
      </c>
      <c r="B61" s="251"/>
      <c r="C61" s="251"/>
      <c r="D61" s="252" t="str">
        <f ca="1">IF(DPAA保額="",IF(總檢核,IF(A60=分齡表最大顯示年齡,"***以下空白***",IF(A61&lt;=分齡表最大顯示年齡,'試算表 (66-70歲)'!B42,"")),""),IF(保費分齡表對應=3,IF(總檢核,IF(A60=分齡表最大顯示年齡,"***以下空白***",IF(A61&lt;=分齡表最大顯示年齡,'試算表 (66-70歲)'!B42,"")),""),""))</f>
        <v/>
      </c>
      <c r="E61" s="252"/>
      <c r="F61" s="252"/>
      <c r="G61" s="250" t="str">
        <f ca="1">IF(DPAA保額="",IF(總檢核,IF($A61="","",SUM('試算表 (66-70歲)'!C42:N42)),""),IF(保費分齡表對應=3,IF(總檢核,IF($A61="","",SUM('試算表 (66-70歲)'!C42:N42)),""),""))</f>
        <v/>
      </c>
      <c r="H61" s="250"/>
      <c r="I61" s="250"/>
      <c r="J61" s="250" t="str">
        <f t="shared" ca="1" si="8"/>
        <v/>
      </c>
      <c r="K61" s="250"/>
      <c r="L61" s="250"/>
      <c r="M61" s="250"/>
      <c r="N61" s="252" t="str">
        <f ca="1">IF(DPAA保額="",IF(總檢核,IF(A61="","",'試算表 (66-70歲)'!O42),""),IF(保費分齡表對應=3,IF(總檢核,IF(A61="","",'試算表 (66-70歲)'!O42),""),""))</f>
        <v/>
      </c>
      <c r="O61" s="252"/>
      <c r="P61" s="252"/>
      <c r="Q61" s="252" t="str">
        <f ca="1">IF(DPAA保額="",IF(總檢核,IF($A61="","",SUM('試算表 (66-70歲)'!P42:AA42)),""),IF(保費分齡表對應=3,IF(總檢核,IF($A61="","",SUM('試算表 (66-70歲)'!P42:AA42)),""),""))</f>
        <v/>
      </c>
      <c r="R61" s="252"/>
      <c r="S61" s="252"/>
      <c r="T61" s="250" t="str">
        <f t="shared" ca="1" si="9"/>
        <v/>
      </c>
      <c r="U61" s="250"/>
      <c r="V61" s="250"/>
      <c r="W61" s="250"/>
    </row>
    <row r="62" spans="1:23" hidden="1">
      <c r="A62" s="251" t="str">
        <f ca="1">IF(DPAA保額="",IF(總檢核,'試算表 (66-70歲)'!A43,""),IF(保費分齡表對應=3,IF(總檢核,'試算表 (66-70歲)'!A43,""),""))</f>
        <v/>
      </c>
      <c r="B62" s="251"/>
      <c r="C62" s="251"/>
      <c r="D62" s="252" t="str">
        <f ca="1">IF(DPAA保額="",IF(總檢核,IF(A61=分齡表最大顯示年齡,"***以下空白***",IF(A62&lt;=分齡表最大顯示年齡,'試算表 (66-70歲)'!B43,"")),""),IF(保費分齡表對應=3,IF(總檢核,IF(A61=分齡表最大顯示年齡,"***以下空白***",IF(A62&lt;=分齡表最大顯示年齡,'試算表 (66-70歲)'!B43,"")),""),""))</f>
        <v/>
      </c>
      <c r="E62" s="252"/>
      <c r="F62" s="252"/>
      <c r="G62" s="250" t="str">
        <f ca="1">IF(DPAA保額="",IF(總檢核,IF($A62="","",SUM('試算表 (66-70歲)'!C43:N43)),""),IF(保費分齡表對應=3,IF(總檢核,IF($A62="","",SUM('試算表 (66-70歲)'!C43:N43)),""),""))</f>
        <v/>
      </c>
      <c r="H62" s="250"/>
      <c r="I62" s="250"/>
      <c r="J62" s="250" t="str">
        <f t="shared" ca="1" si="8"/>
        <v/>
      </c>
      <c r="K62" s="250"/>
      <c r="L62" s="250"/>
      <c r="M62" s="250"/>
      <c r="N62" s="252" t="str">
        <f ca="1">IF(DPAA保額="",IF(總檢核,IF(A62="","",'試算表 (66-70歲)'!O43),""),IF(保費分齡表對應=3,IF(總檢核,IF(A62="","",'試算表 (66-70歲)'!O43),""),""))</f>
        <v/>
      </c>
      <c r="O62" s="252"/>
      <c r="P62" s="252"/>
      <c r="Q62" s="252" t="str">
        <f ca="1">IF(DPAA保額="",IF(總檢核,IF($A62="","",SUM('試算表 (66-70歲)'!P43:AA43)),""),IF(保費分齡表對應=3,IF(總檢核,IF($A62="","",SUM('試算表 (66-70歲)'!P43:AA43)),""),""))</f>
        <v/>
      </c>
      <c r="R62" s="252"/>
      <c r="S62" s="252"/>
      <c r="T62" s="250" t="str">
        <f t="shared" ca="1" si="9"/>
        <v/>
      </c>
      <c r="U62" s="250"/>
      <c r="V62" s="250"/>
      <c r="W62" s="250"/>
    </row>
    <row r="63" spans="1:23" hidden="1">
      <c r="A63" s="254" t="str">
        <f ca="1">IF(DPAA保額="",IF(總檢核,'試算表 (66-70歲)'!A44,""),IF(保費分齡表對應=3,IF(總檢核,'試算表 (66-70歲)'!A44,""),""))</f>
        <v/>
      </c>
      <c r="B63" s="254"/>
      <c r="C63" s="254"/>
      <c r="D63" s="255" t="str">
        <f ca="1">IF(DPAA保額="",IF(總檢核,IF(A62=分齡表最大顯示年齡,"***以下空白***",IF(A63&lt;=分齡表最大顯示年齡,'試算表 (66-70歲)'!B44,"")),""),IF(保費分齡表對應=3,IF(總檢核,IF(A62=分齡表最大顯示年齡,"***以下空白***",IF(A63&lt;=分齡表最大顯示年齡,'試算表 (66-70歲)'!B44,"")),""),""))</f>
        <v/>
      </c>
      <c r="E63" s="255"/>
      <c r="F63" s="255"/>
      <c r="G63" s="253" t="str">
        <f ca="1">IF(DPAA保額="",IF(總檢核,IF($A63="","",SUM('試算表 (66-70歲)'!C44:N44)),""),IF(保費分齡表對應=3,IF(總檢核,IF($A63="","",SUM('試算表 (66-70歲)'!C44:N44)),""),""))</f>
        <v/>
      </c>
      <c r="H63" s="253"/>
      <c r="I63" s="253"/>
      <c r="J63" s="253" t="str">
        <f t="shared" ca="1" si="8"/>
        <v/>
      </c>
      <c r="K63" s="253"/>
      <c r="L63" s="253"/>
      <c r="M63" s="253"/>
      <c r="N63" s="255" t="str">
        <f ca="1">IF(DPAA保額="",IF(總檢核,IF(A63="","",'試算表 (66-70歲)'!O44),""),IF(保費分齡表對應=3,IF(總檢核,IF(A63="","",'試算表 (66-70歲)'!O44),""),""))</f>
        <v/>
      </c>
      <c r="O63" s="255"/>
      <c r="P63" s="255"/>
      <c r="Q63" s="255" t="str">
        <f ca="1">IF(DPAA保額="",IF(總檢核,IF($A63="","",SUM('試算表 (66-70歲)'!P44:AA44)),""),IF(保費分齡表對應=3,IF(總檢核,IF($A63="","",SUM('試算表 (66-70歲)'!P44:AA44)),""),""))</f>
        <v/>
      </c>
      <c r="R63" s="255"/>
      <c r="S63" s="255"/>
      <c r="T63" s="253" t="str">
        <f t="shared" ca="1" si="9"/>
        <v/>
      </c>
      <c r="U63" s="253"/>
      <c r="V63" s="253"/>
      <c r="W63" s="253"/>
    </row>
    <row r="64" spans="1:23" hidden="1">
      <c r="A64" s="251" t="str">
        <f ca="1">IF(DPAA保額="",IF(總檢核,'試算表 (66-70歲)'!A45,""),IF(保費分齡表對應=3,IF(總檢核,'試算表 (66-70歲)'!A45,""),""))</f>
        <v/>
      </c>
      <c r="B64" s="251"/>
      <c r="C64" s="251"/>
      <c r="D64" s="252" t="str">
        <f ca="1">IF(DPAA保額="",IF(總檢核,IF(A63=分齡表最大顯示年齡,"***以下空白***",IF(A64&lt;=分齡表最大顯示年齡,'試算表 (66-70歲)'!B45,"")),""),IF(保費分齡表對應=3,IF(總檢核,IF(A63=分齡表最大顯示年齡,"***以下空白***",IF(A64&lt;=分齡表最大顯示年齡,'試算表 (66-70歲)'!B45,"")),""),""))</f>
        <v/>
      </c>
      <c r="E64" s="252"/>
      <c r="F64" s="252"/>
      <c r="G64" s="250" t="str">
        <f ca="1">IF(DPAA保額="",IF(總檢核,IF($A64="","",SUM('試算表 (66-70歲)'!C45:N45)),""),IF(保費分齡表對應=3,IF(總檢核,IF($A64="","",SUM('試算表 (66-70歲)'!C45:N45)),""),""))</f>
        <v/>
      </c>
      <c r="H64" s="250"/>
      <c r="I64" s="250"/>
      <c r="J64" s="250" t="str">
        <f t="shared" ca="1" si="8"/>
        <v/>
      </c>
      <c r="K64" s="250"/>
      <c r="L64" s="250"/>
      <c r="M64" s="250"/>
      <c r="N64" s="252" t="str">
        <f ca="1">IF(DPAA保額="",IF(總檢核,IF(A64="","",'試算表 (66-70歲)'!O45),""),IF(保費分齡表對應=3,IF(總檢核,IF(A64="","",'試算表 (66-70歲)'!O45),""),""))</f>
        <v/>
      </c>
      <c r="O64" s="252"/>
      <c r="P64" s="252"/>
      <c r="Q64" s="252" t="str">
        <f ca="1">IF(DPAA保額="",IF(總檢核,IF($A64="","",SUM('試算表 (66-70歲)'!P45:AA45)),""),IF(保費分齡表對應=3,IF(總檢核,IF($A64="","",SUM('試算表 (66-70歲)'!P45:AA45)),""),""))</f>
        <v/>
      </c>
      <c r="R64" s="252"/>
      <c r="S64" s="252"/>
      <c r="T64" s="250" t="str">
        <f t="shared" ca="1" si="9"/>
        <v/>
      </c>
      <c r="U64" s="250"/>
      <c r="V64" s="250"/>
      <c r="W64" s="250"/>
    </row>
    <row r="65" spans="1:23" hidden="1">
      <c r="A65" s="251" t="str">
        <f ca="1">IF(DPAA保額="",IF(總檢核,'試算表 (66-70歲)'!A46,""),IF(保費分齡表對應=3,IF(總檢核,'試算表 (66-70歲)'!A46,""),""))</f>
        <v/>
      </c>
      <c r="B65" s="251"/>
      <c r="C65" s="251"/>
      <c r="D65" s="252" t="str">
        <f ca="1">IF(DPAA保額="",IF(總檢核,IF(A64=分齡表最大顯示年齡,"***以下空白***",IF(A65&lt;=分齡表最大顯示年齡,'試算表 (66-70歲)'!B46,"")),""),IF(保費分齡表對應=3,IF(總檢核,IF(A64=分齡表最大顯示年齡,"***以下空白***",IF(A65&lt;=分齡表最大顯示年齡,'試算表 (66-70歲)'!B46,"")),""),""))</f>
        <v/>
      </c>
      <c r="E65" s="252"/>
      <c r="F65" s="252"/>
      <c r="G65" s="250" t="str">
        <f ca="1">IF(DPAA保額="",IF(總檢核,IF($A65="","",SUM('試算表 (66-70歲)'!C46:N46)),""),IF(保費分齡表對應=3,IF(總檢核,IF($A65="","",SUM('試算表 (66-70歲)'!C46:N46)),""),""))</f>
        <v/>
      </c>
      <c r="H65" s="250"/>
      <c r="I65" s="250"/>
      <c r="J65" s="250" t="str">
        <f t="shared" ca="1" si="8"/>
        <v/>
      </c>
      <c r="K65" s="250"/>
      <c r="L65" s="250"/>
      <c r="M65" s="250"/>
      <c r="N65" s="252" t="str">
        <f ca="1">IF(DPAA保額="",IF(總檢核,IF(A65="","",'試算表 (66-70歲)'!O46),""),IF(保費分齡表對應=3,IF(總檢核,IF(A65="","",'試算表 (66-70歲)'!O46),""),""))</f>
        <v/>
      </c>
      <c r="O65" s="252"/>
      <c r="P65" s="252"/>
      <c r="Q65" s="252" t="str">
        <f ca="1">IF(DPAA保額="",IF(總檢核,IF($A65="","",SUM('試算表 (66-70歲)'!P46:AA46)),""),IF(保費分齡表對應=3,IF(總檢核,IF($A65="","",SUM('試算表 (66-70歲)'!P46:AA46)),""),""))</f>
        <v/>
      </c>
      <c r="R65" s="252"/>
      <c r="S65" s="252"/>
      <c r="T65" s="250" t="str">
        <f t="shared" ca="1" si="9"/>
        <v/>
      </c>
      <c r="U65" s="250"/>
      <c r="V65" s="250"/>
      <c r="W65" s="250"/>
    </row>
    <row r="66" spans="1:23" hidden="1">
      <c r="A66" s="251" t="str">
        <f ca="1">IF(DPAA保額="",IF(總檢核,'試算表 (66-70歲)'!A47,""),IF(保費分齡表對應=3,IF(總檢核,'試算表 (66-70歲)'!A47,""),""))</f>
        <v/>
      </c>
      <c r="B66" s="251"/>
      <c r="C66" s="251"/>
      <c r="D66" s="252" t="str">
        <f ca="1">IF(DPAA保額="",IF(總檢核,IF(A65=分齡表最大顯示年齡,"***以下空白***",IF(A66&lt;=分齡表最大顯示年齡,'試算表 (66-70歲)'!B47,"")),""),IF(保費分齡表對應=3,IF(總檢核,IF(A65=分齡表最大顯示年齡,"***以下空白***",IF(A66&lt;=分齡表最大顯示年齡,'試算表 (66-70歲)'!B47,"")),""),""))</f>
        <v/>
      </c>
      <c r="E66" s="252"/>
      <c r="F66" s="252"/>
      <c r="G66" s="250" t="str">
        <f ca="1">IF(DPAA保額="",IF(總檢核,IF($A66="","",SUM('試算表 (66-70歲)'!C47:N47)),""),IF(保費分齡表對應=3,IF(總檢核,IF($A66="","",SUM('試算表 (66-70歲)'!C47:N47)),""),""))</f>
        <v/>
      </c>
      <c r="H66" s="250"/>
      <c r="I66" s="250"/>
      <c r="J66" s="250" t="str">
        <f t="shared" ca="1" si="8"/>
        <v/>
      </c>
      <c r="K66" s="250"/>
      <c r="L66" s="250"/>
      <c r="M66" s="250"/>
      <c r="N66" s="252" t="str">
        <f ca="1">IF(DPAA保額="",IF(總檢核,IF(A66="","",'試算表 (66-70歲)'!O47),""),IF(保費分齡表對應=3,IF(總檢核,IF(A66="","",'試算表 (66-70歲)'!O47),""),""))</f>
        <v/>
      </c>
      <c r="O66" s="252"/>
      <c r="P66" s="252"/>
      <c r="Q66" s="252" t="str">
        <f ca="1">IF(DPAA保額="",IF(總檢核,IF($A66="","",SUM('試算表 (66-70歲)'!P47:AA47)),""),IF(保費分齡表對應=3,IF(總檢核,IF($A66="","",SUM('試算表 (66-70歲)'!P47:AA47)),""),""))</f>
        <v/>
      </c>
      <c r="R66" s="252"/>
      <c r="S66" s="252"/>
      <c r="T66" s="250" t="str">
        <f t="shared" ca="1" si="9"/>
        <v/>
      </c>
      <c r="U66" s="250"/>
      <c r="V66" s="250"/>
      <c r="W66" s="250"/>
    </row>
    <row r="67" spans="1:23" hidden="1">
      <c r="A67" s="251" t="str">
        <f ca="1">IF(DPAA保額="",IF(總檢核,'試算表 (66-70歲)'!A48,""),IF(保費分齡表對應=3,IF(總檢核,'試算表 (66-70歲)'!A48,""),""))</f>
        <v/>
      </c>
      <c r="B67" s="251"/>
      <c r="C67" s="251"/>
      <c r="D67" s="252" t="str">
        <f ca="1">IF(DPAA保額="",IF(總檢核,IF(A66=分齡表最大顯示年齡,"***以下空白***",IF(A67&lt;=分齡表最大顯示年齡,'試算表 (66-70歲)'!B48,"")),""),IF(保費分齡表對應=3,IF(總檢核,IF(A66=分齡表最大顯示年齡,"***以下空白***",IF(A67&lt;=分齡表最大顯示年齡,'試算表 (66-70歲)'!B48,"")),""),""))</f>
        <v/>
      </c>
      <c r="E67" s="252"/>
      <c r="F67" s="252"/>
      <c r="G67" s="250" t="str">
        <f ca="1">IF(DPAA保額="",IF(總檢核,IF($A67="","",SUM('試算表 (66-70歲)'!C48:N48)),""),IF(保費分齡表對應=3,IF(總檢核,IF($A67="","",SUM('試算表 (66-70歲)'!C48:N48)),""),""))</f>
        <v/>
      </c>
      <c r="H67" s="250"/>
      <c r="I67" s="250"/>
      <c r="J67" s="250" t="str">
        <f t="shared" ca="1" si="8"/>
        <v/>
      </c>
      <c r="K67" s="250"/>
      <c r="L67" s="250"/>
      <c r="M67" s="250"/>
      <c r="N67" s="252" t="str">
        <f ca="1">IF(DPAA保額="",IF(總檢核,IF(A67="","",'試算表 (66-70歲)'!O48),""),IF(保費分齡表對應=3,IF(總檢核,IF(A67="","",'試算表 (66-70歲)'!O48),""),""))</f>
        <v/>
      </c>
      <c r="O67" s="252"/>
      <c r="P67" s="252"/>
      <c r="Q67" s="252" t="str">
        <f ca="1">IF(DPAA保額="",IF(總檢核,IF($A67="","",SUM('試算表 (66-70歲)'!P48:AA48)),""),IF(保費分齡表對應=3,IF(總檢核,IF($A67="","",SUM('試算表 (66-70歲)'!P48:AA48)),""),""))</f>
        <v/>
      </c>
      <c r="R67" s="252"/>
      <c r="S67" s="252"/>
      <c r="T67" s="250" t="str">
        <f t="shared" ca="1" si="9"/>
        <v/>
      </c>
      <c r="U67" s="250"/>
      <c r="V67" s="250"/>
      <c r="W67" s="250"/>
    </row>
    <row r="68" spans="1:23" hidden="1">
      <c r="A68" s="254" t="str">
        <f ca="1">IF(DPAA保額="",IF(總檢核,'試算表 (66-70歲)'!A49,""),IF(保費分齡表對應=3,IF(總檢核,'試算表 (66-70歲)'!A49,""),""))</f>
        <v/>
      </c>
      <c r="B68" s="254"/>
      <c r="C68" s="254"/>
      <c r="D68" s="255" t="str">
        <f ca="1">IF(DPAA保額="",IF(總檢核,IF(A67=分齡表最大顯示年齡,"***以下空白***",IF(A68&lt;=分齡表最大顯示年齡,'試算表 (66-70歲)'!B49,"")),""),IF(保費分齡表對應=3,IF(總檢核,IF(A67=分齡表最大顯示年齡,"***以下空白***",IF(A68&lt;=分齡表最大顯示年齡,'試算表 (66-70歲)'!B49,"")),""),""))</f>
        <v/>
      </c>
      <c r="E68" s="255"/>
      <c r="F68" s="255"/>
      <c r="G68" s="253" t="str">
        <f ca="1">IF(DPAA保額="",IF(總檢核,IF($A68="","",SUM('試算表 (66-70歲)'!C49:N49)),""),IF(保費分齡表對應=3,IF(總檢核,IF($A68="","",SUM('試算表 (66-70歲)'!C49:N49)),""),""))</f>
        <v/>
      </c>
      <c r="H68" s="253"/>
      <c r="I68" s="253"/>
      <c r="J68" s="253" t="str">
        <f t="shared" ca="1" si="8"/>
        <v/>
      </c>
      <c r="K68" s="253"/>
      <c r="L68" s="253"/>
      <c r="M68" s="253"/>
      <c r="N68" s="255" t="str">
        <f ca="1">IF(DPAA保額="",IF(總檢核,IF(A68="","",'試算表 (66-70歲)'!O49),""),IF(保費分齡表對應=3,IF(總檢核,IF(A68="","",'試算表 (66-70歲)'!O49),""),""))</f>
        <v/>
      </c>
      <c r="O68" s="255"/>
      <c r="P68" s="255"/>
      <c r="Q68" s="255" t="str">
        <f ca="1">IF(DPAA保額="",IF(總檢核,IF($A68="","",SUM('試算表 (66-70歲)'!P49:AA49)),""),IF(保費分齡表對應=3,IF(總檢核,IF($A68="","",SUM('試算表 (66-70歲)'!P49:AA49)),""),""))</f>
        <v/>
      </c>
      <c r="R68" s="255"/>
      <c r="S68" s="255"/>
      <c r="T68" s="253" t="str">
        <f t="shared" ca="1" si="9"/>
        <v/>
      </c>
      <c r="U68" s="253"/>
      <c r="V68" s="253"/>
      <c r="W68" s="253"/>
    </row>
    <row r="69" spans="1:23" hidden="1">
      <c r="A69" s="251" t="str">
        <f ca="1">IF(DPAA保額="",IF(總檢核,'試算表 (66-70歲)'!A50,""),IF(保費分齡表對應=3,IF(總檢核,'試算表 (66-70歲)'!A50,""),""))</f>
        <v/>
      </c>
      <c r="B69" s="251"/>
      <c r="C69" s="251"/>
      <c r="D69" s="252" t="str">
        <f ca="1">IF(DPAA保額="",IF(總檢核,IF(A68=分齡表最大顯示年齡,"***以下空白***",IF(A69&lt;=分齡表最大顯示年齡,'試算表 (66-70歲)'!B50,"")),""),IF(保費分齡表對應=3,IF(總檢核,IF(A68=分齡表最大顯示年齡,"***以下空白***",IF(A69&lt;=分齡表最大顯示年齡,'試算表 (66-70歲)'!B50,"")),""),""))</f>
        <v/>
      </c>
      <c r="E69" s="252"/>
      <c r="F69" s="252"/>
      <c r="G69" s="250" t="str">
        <f ca="1">IF(DPAA保額="",IF(總檢核,IF($A69="","",SUM('試算表 (66-70歲)'!C50:N50)),""),IF(保費分齡表對應=3,IF(總檢核,IF($A69="","",SUM('試算表 (66-70歲)'!C50:N50)),""),""))</f>
        <v/>
      </c>
      <c r="H69" s="250"/>
      <c r="I69" s="250"/>
      <c r="J69" s="250" t="str">
        <f t="shared" ca="1" si="8"/>
        <v/>
      </c>
      <c r="K69" s="250"/>
      <c r="L69" s="250"/>
      <c r="M69" s="250"/>
      <c r="N69" s="252" t="str">
        <f ca="1">IF(DPAA保額="",IF(總檢核,IF(A69="","",'試算表 (66-70歲)'!O50),""),IF(保費分齡表對應=3,IF(總檢核,IF(A69="","",'試算表 (66-70歲)'!O50),""),""))</f>
        <v/>
      </c>
      <c r="O69" s="252"/>
      <c r="P69" s="252"/>
      <c r="Q69" s="252" t="str">
        <f ca="1">IF(DPAA保額="",IF(總檢核,IF($A69="","",SUM('試算表 (66-70歲)'!P50:AA50)),""),IF(保費分齡表對應=3,IF(總檢核,IF($A69="","",SUM('試算表 (66-70歲)'!P50:AA50)),""),""))</f>
        <v/>
      </c>
      <c r="R69" s="252"/>
      <c r="S69" s="252"/>
      <c r="T69" s="250" t="str">
        <f t="shared" ca="1" si="9"/>
        <v/>
      </c>
      <c r="U69" s="250"/>
      <c r="V69" s="250"/>
      <c r="W69" s="250"/>
    </row>
    <row r="70" spans="1:23" hidden="1">
      <c r="A70" s="251" t="str">
        <f ca="1">IF(DPAA保額="",IF(總檢核,'試算表 (66-70歲)'!A51,""),IF(保費分齡表對應=3,IF(總檢核,'試算表 (66-70歲)'!A51,""),""))</f>
        <v/>
      </c>
      <c r="B70" s="251"/>
      <c r="C70" s="251"/>
      <c r="D70" s="252" t="str">
        <f ca="1">IF(DPAA保額="",IF(總檢核,IF(A69=分齡表最大顯示年齡,"***以下空白***",IF(A70&lt;=分齡表最大顯示年齡,'試算表 (66-70歲)'!B51,"")),""),IF(保費分齡表對應=3,IF(總檢核,IF(A69=分齡表最大顯示年齡,"***以下空白***",IF(A70&lt;=分齡表最大顯示年齡,'試算表 (66-70歲)'!B51,"")),""),""))</f>
        <v/>
      </c>
      <c r="E70" s="252"/>
      <c r="F70" s="252"/>
      <c r="G70" s="250" t="str">
        <f ca="1">IF(DPAA保額="",IF(總檢核,IF($A70="","",SUM('試算表 (66-70歲)'!C51:N51)),""),IF(保費分齡表對應=3,IF(總檢核,IF($A70="","",SUM('試算表 (66-70歲)'!C51:N51)),""),""))</f>
        <v/>
      </c>
      <c r="H70" s="250"/>
      <c r="I70" s="250"/>
      <c r="J70" s="250" t="str">
        <f t="shared" ca="1" si="8"/>
        <v/>
      </c>
      <c r="K70" s="250"/>
      <c r="L70" s="250"/>
      <c r="M70" s="250"/>
      <c r="N70" s="252" t="str">
        <f ca="1">IF(DPAA保額="",IF(總檢核,IF(A70="","",'試算表 (66-70歲)'!O51),""),IF(保費分齡表對應=3,IF(總檢核,IF(A70="","",'試算表 (66-70歲)'!O51),""),""))</f>
        <v/>
      </c>
      <c r="O70" s="252"/>
      <c r="P70" s="252"/>
      <c r="Q70" s="252" t="str">
        <f ca="1">IF(DPAA保額="",IF(總檢核,IF($A70="","",SUM('試算表 (66-70歲)'!P51:AA51)),""),IF(保費分齡表對應=3,IF(總檢核,IF($A70="","",SUM('試算表 (66-70歲)'!P51:AA51)),""),""))</f>
        <v/>
      </c>
      <c r="R70" s="252"/>
      <c r="S70" s="252"/>
      <c r="T70" s="250" t="str">
        <f t="shared" ca="1" si="9"/>
        <v/>
      </c>
      <c r="U70" s="250"/>
      <c r="V70" s="250"/>
      <c r="W70" s="250"/>
    </row>
    <row r="71" spans="1:23" hidden="1">
      <c r="A71" s="251" t="str">
        <f ca="1">IF(DPAA保額="",IF(總檢核,'試算表 (66-70歲)'!A52,""),IF(保費分齡表對應=3,IF(總檢核,'試算表 (66-70歲)'!A52,""),""))</f>
        <v/>
      </c>
      <c r="B71" s="251"/>
      <c r="C71" s="251"/>
      <c r="D71" s="252" t="str">
        <f ca="1">IF(DPAA保額="",IF(總檢核,IF(A70=分齡表最大顯示年齡,"***以下空白***",IF(A71&lt;=分齡表最大顯示年齡,'試算表 (66-70歲)'!B52,"")),""),IF(保費分齡表對應=3,IF(總檢核,IF(A70=分齡表最大顯示年齡,"***以下空白***",IF(A71&lt;=分齡表最大顯示年齡,'試算表 (66-70歲)'!B52,"")),""),""))</f>
        <v/>
      </c>
      <c r="E71" s="252"/>
      <c r="F71" s="252"/>
      <c r="G71" s="250" t="str">
        <f ca="1">IF(DPAA保額="",IF(總檢核,IF($A71="","",SUM('試算表 (66-70歲)'!C52:N52)),""),IF(保費分齡表對應=3,IF(總檢核,IF($A71="","",SUM('試算表 (66-70歲)'!C52:N52)),""),""))</f>
        <v/>
      </c>
      <c r="H71" s="250"/>
      <c r="I71" s="250"/>
      <c r="J71" s="250" t="str">
        <f t="shared" ca="1" si="8"/>
        <v/>
      </c>
      <c r="K71" s="250"/>
      <c r="L71" s="250"/>
      <c r="M71" s="250"/>
      <c r="N71" s="252" t="str">
        <f ca="1">IF(DPAA保額="",IF(總檢核,IF(A71="","",'試算表 (66-70歲)'!O52),""),IF(保費分齡表對應=3,IF(總檢核,IF(A71="","",'試算表 (66-70歲)'!O52),""),""))</f>
        <v/>
      </c>
      <c r="O71" s="252"/>
      <c r="P71" s="252"/>
      <c r="Q71" s="252" t="str">
        <f ca="1">IF(DPAA保額="",IF(總檢核,IF($A71="","",SUM('試算表 (66-70歲)'!P52:AA52)),""),IF(保費分齡表對應=3,IF(總檢核,IF($A71="","",SUM('試算表 (66-70歲)'!P52:AA52)),""),""))</f>
        <v/>
      </c>
      <c r="R71" s="252"/>
      <c r="S71" s="252"/>
      <c r="T71" s="250" t="str">
        <f t="shared" ca="1" si="9"/>
        <v/>
      </c>
      <c r="U71" s="250"/>
      <c r="V71" s="250"/>
      <c r="W71" s="250"/>
    </row>
    <row r="72" spans="1:23" hidden="1">
      <c r="A72" s="251" t="str">
        <f ca="1">IF(DPAA保額="",IF(總檢核,'試算表 (66-70歲)'!A53,""),IF(保費分齡表對應=3,IF(總檢核,'試算表 (66-70歲)'!A53,""),""))</f>
        <v/>
      </c>
      <c r="B72" s="251"/>
      <c r="C72" s="251"/>
      <c r="D72" s="252" t="str">
        <f ca="1">IF(DPAA保額="",IF(總檢核,IF(A71=分齡表最大顯示年齡,"***以下空白***",IF(A72&lt;=分齡表最大顯示年齡,'試算表 (66-70歲)'!B53,"")),""),IF(保費分齡表對應=3,IF(總檢核,IF(A71=分齡表最大顯示年齡,"***以下空白***",IF(A72&lt;=分齡表最大顯示年齡,'試算表 (66-70歲)'!B53,"")),""),""))</f>
        <v/>
      </c>
      <c r="E72" s="252"/>
      <c r="F72" s="252"/>
      <c r="G72" s="250" t="str">
        <f ca="1">IF(DPAA保額="",IF(總檢核,IF($A72="","",SUM('試算表 (66-70歲)'!C53:N53)),""),IF(保費分齡表對應=3,IF(總檢核,IF($A72="","",SUM('試算表 (66-70歲)'!C53:N53)),""),""))</f>
        <v/>
      </c>
      <c r="H72" s="250"/>
      <c r="I72" s="250"/>
      <c r="J72" s="250" t="str">
        <f t="shared" ca="1" si="8"/>
        <v/>
      </c>
      <c r="K72" s="250"/>
      <c r="L72" s="250"/>
      <c r="M72" s="250"/>
      <c r="N72" s="252" t="str">
        <f ca="1">IF(DPAA保額="",IF(總檢核,IF(A72="","",'試算表 (66-70歲)'!O53),""),IF(保費分齡表對應=3,IF(總檢核,IF(A72="","",'試算表 (66-70歲)'!O53),""),""))</f>
        <v/>
      </c>
      <c r="O72" s="252"/>
      <c r="P72" s="252"/>
      <c r="Q72" s="252" t="str">
        <f ca="1">IF(DPAA保額="",IF(總檢核,IF($A72="","",SUM('試算表 (66-70歲)'!P53:AA53)),""),IF(保費分齡表對應=3,IF(總檢核,IF($A72="","",SUM('試算表 (66-70歲)'!P53:AA53)),""),""))</f>
        <v/>
      </c>
      <c r="R72" s="252"/>
      <c r="S72" s="252"/>
      <c r="T72" s="250" t="str">
        <f t="shared" ca="1" si="9"/>
        <v/>
      </c>
      <c r="U72" s="250"/>
      <c r="V72" s="250"/>
      <c r="W72" s="250"/>
    </row>
    <row r="73" spans="1:23" hidden="1">
      <c r="A73" s="254" t="str">
        <f ca="1">IF(DPAA保額="",IF(總檢核,'試算表 (66-70歲)'!A54,""),IF(保費分齡表對應=3,IF(總檢核,'試算表 (66-70歲)'!A54,""),""))</f>
        <v/>
      </c>
      <c r="B73" s="254"/>
      <c r="C73" s="254"/>
      <c r="D73" s="255" t="str">
        <f ca="1">IF(DPAA保額="",IF(總檢核,IF(A72=分齡表最大顯示年齡,"***以下空白***",IF(A73&lt;=分齡表最大顯示年齡,'試算表 (66-70歲)'!B54,"")),""),IF(保費分齡表對應=3,IF(總檢核,IF(A72=分齡表最大顯示年齡,"***以下空白***",IF(A73&lt;=分齡表最大顯示年齡,'試算表 (66-70歲)'!B54,"")),""),""))</f>
        <v/>
      </c>
      <c r="E73" s="255"/>
      <c r="F73" s="255"/>
      <c r="G73" s="253" t="str">
        <f ca="1">IF(DPAA保額="",IF(總檢核,IF($A73="","",SUM('試算表 (66-70歲)'!C54:N54)),""),IF(保費分齡表對應=3,IF(總檢核,IF($A73="","",SUM('試算表 (66-70歲)'!C54:N54)),""),""))</f>
        <v/>
      </c>
      <c r="H73" s="253"/>
      <c r="I73" s="253"/>
      <c r="J73" s="253" t="str">
        <f t="shared" ca="1" si="8"/>
        <v/>
      </c>
      <c r="K73" s="253"/>
      <c r="L73" s="253"/>
      <c r="M73" s="253"/>
      <c r="N73" s="255" t="str">
        <f ca="1">IF(DPAA保額="",IF(總檢核,IF(A73="","",'試算表 (66-70歲)'!O54),""),IF(保費分齡表對應=3,IF(總檢核,IF(A73="","",'試算表 (66-70歲)'!O54),""),""))</f>
        <v/>
      </c>
      <c r="O73" s="255"/>
      <c r="P73" s="255"/>
      <c r="Q73" s="255" t="str">
        <f ca="1">IF(DPAA保額="",IF(總檢核,IF($A73="","",SUM('試算表 (66-70歲)'!P54:AA54)),""),IF(保費分齡表對應=3,IF(總檢核,IF($A73="","",SUM('試算表 (66-70歲)'!P54:AA54)),""),""))</f>
        <v/>
      </c>
      <c r="R73" s="255"/>
      <c r="S73" s="255"/>
      <c r="T73" s="253" t="str">
        <f t="shared" ca="1" si="9"/>
        <v/>
      </c>
      <c r="U73" s="253"/>
      <c r="V73" s="253"/>
      <c r="W73" s="253"/>
    </row>
    <row r="74" spans="1:23" hidden="1">
      <c r="A74" s="251" t="str">
        <f ca="1">IF(DPAA保額="",IF(總檢核,'試算表 (66-70歲)'!A55,""),IF(保費分齡表對應=3,IF(總檢核,'試算表 (66-70歲)'!A55,""),""))</f>
        <v/>
      </c>
      <c r="B74" s="251"/>
      <c r="C74" s="251"/>
      <c r="D74" s="252" t="str">
        <f ca="1">IF(DPAA保額="",IF(總檢核,IF(A73=分齡表最大顯示年齡,"***以下空白***",IF(A74&lt;=分齡表最大顯示年齡,'試算表 (66-70歲)'!B55,"")),""),IF(保費分齡表對應=3,IF(總檢核,IF(A73=分齡表最大顯示年齡,"***以下空白***",IF(A74&lt;=分齡表最大顯示年齡,'試算表 (66-70歲)'!B55,"")),""),""))</f>
        <v/>
      </c>
      <c r="E74" s="252"/>
      <c r="F74" s="252"/>
      <c r="G74" s="250" t="str">
        <f ca="1">IF(DPAA保額="",IF(總檢核,IF($A74="","",SUM('試算表 (66-70歲)'!C55:N55)),""),IF(保費分齡表對應=3,IF(總檢核,IF($A74="","",SUM('試算表 (66-70歲)'!C55:N55)),""),""))</f>
        <v/>
      </c>
      <c r="H74" s="250"/>
      <c r="I74" s="250"/>
      <c r="J74" s="250" t="str">
        <f t="shared" ca="1" si="8"/>
        <v/>
      </c>
      <c r="K74" s="250"/>
      <c r="L74" s="250"/>
      <c r="M74" s="250"/>
      <c r="N74" s="252" t="str">
        <f ca="1">IF(DPAA保額="",IF(總檢核,IF(A74="","",'試算表 (66-70歲)'!O55),""),IF(保費分齡表對應=3,IF(總檢核,IF(A74="","",'試算表 (66-70歲)'!O55),""),""))</f>
        <v/>
      </c>
      <c r="O74" s="252"/>
      <c r="P74" s="252"/>
      <c r="Q74" s="252" t="str">
        <f ca="1">IF(DPAA保額="",IF(總檢核,IF($A74="","",SUM('試算表 (66-70歲)'!P55:AA55)),""),IF(保費分齡表對應=3,IF(總檢核,IF($A74="","",SUM('試算表 (66-70歲)'!P55:AA55)),""),""))</f>
        <v/>
      </c>
      <c r="R74" s="252"/>
      <c r="S74" s="252"/>
      <c r="T74" s="250" t="str">
        <f t="shared" ca="1" si="9"/>
        <v/>
      </c>
      <c r="U74" s="250"/>
      <c r="V74" s="250"/>
      <c r="W74" s="250"/>
    </row>
    <row r="75" spans="1:23" hidden="1">
      <c r="A75" s="251" t="str">
        <f ca="1">IF(DPAA保額="",IF(總檢核,'試算表 (66-70歲)'!A56,""),IF(保費分齡表對應=3,IF(總檢核,'試算表 (66-70歲)'!A56,""),""))</f>
        <v/>
      </c>
      <c r="B75" s="251"/>
      <c r="C75" s="251"/>
      <c r="D75" s="252" t="str">
        <f ca="1">IF(DPAA保額="",IF(總檢核,IF(A74=分齡表最大顯示年齡,"***以下空白***",IF(A75&lt;=分齡表最大顯示年齡,'試算表 (66-70歲)'!B56,"")),""),IF(保費分齡表對應=3,IF(總檢核,IF(A74=分齡表最大顯示年齡,"***以下空白***",IF(A75&lt;=分齡表最大顯示年齡,'試算表 (66-70歲)'!B56,"")),""),""))</f>
        <v/>
      </c>
      <c r="E75" s="252"/>
      <c r="F75" s="252"/>
      <c r="G75" s="250" t="str">
        <f ca="1">IF(DPAA保額="",IF(總檢核,IF($A75="","",SUM('試算表 (66-70歲)'!C56:N56)),""),IF(保費分齡表對應=3,IF(總檢核,IF($A75="","",SUM('試算表 (66-70歲)'!C56:N56)),""),""))</f>
        <v/>
      </c>
      <c r="H75" s="250"/>
      <c r="I75" s="250"/>
      <c r="J75" s="250" t="str">
        <f t="shared" ca="1" si="8"/>
        <v/>
      </c>
      <c r="K75" s="250"/>
      <c r="L75" s="250"/>
      <c r="M75" s="250"/>
      <c r="N75" s="252" t="str">
        <f ca="1">IF(DPAA保額="",IF(總檢核,IF(A75="","",'試算表 (66-70歲)'!O56),""),IF(保費分齡表對應=3,IF(總檢核,IF(A75="","",'試算表 (66-70歲)'!O56),""),""))</f>
        <v/>
      </c>
      <c r="O75" s="252"/>
      <c r="P75" s="252"/>
      <c r="Q75" s="252" t="str">
        <f ca="1">IF(DPAA保額="",IF(總檢核,IF($A75="","",SUM('試算表 (66-70歲)'!P56:AA56)),""),IF(保費分齡表對應=3,IF(總檢核,IF($A75="","",SUM('試算表 (66-70歲)'!P56:AA56)),""),""))</f>
        <v/>
      </c>
      <c r="R75" s="252"/>
      <c r="S75" s="252"/>
      <c r="T75" s="250" t="str">
        <f t="shared" ca="1" si="9"/>
        <v/>
      </c>
      <c r="U75" s="250"/>
      <c r="V75" s="250"/>
      <c r="W75" s="250"/>
    </row>
    <row r="76" spans="1:23" hidden="1">
      <c r="A76" s="251" t="str">
        <f ca="1">IF(DPAA保額="",IF(總檢核,'試算表 (66-70歲)'!A57,""),IF(保費分齡表對應=3,IF(總檢核,'試算表 (66-70歲)'!A57,""),""))</f>
        <v/>
      </c>
      <c r="B76" s="251"/>
      <c r="C76" s="251"/>
      <c r="D76" s="252" t="str">
        <f ca="1">IF(DPAA保額="",IF(總檢核,IF(A75=分齡表最大顯示年齡,"***以下空白***",IF(A76&lt;=分齡表最大顯示年齡,'試算表 (66-70歲)'!B57,"")),""),IF(保費分齡表對應=3,IF(總檢核,IF(A75=分齡表最大顯示年齡,"***以下空白***",IF(A76&lt;=分齡表最大顯示年齡,'試算表 (66-70歲)'!B57,"")),""),""))</f>
        <v/>
      </c>
      <c r="E76" s="252"/>
      <c r="F76" s="252"/>
      <c r="G76" s="250" t="str">
        <f ca="1">IF(DPAA保額="",IF(總檢核,IF($A76="","",SUM('試算表 (66-70歲)'!C57:N57)),""),IF(保費分齡表對應=3,IF(總檢核,IF($A76="","",SUM('試算表 (66-70歲)'!C57:N57)),""),""))</f>
        <v/>
      </c>
      <c r="H76" s="250"/>
      <c r="I76" s="250"/>
      <c r="J76" s="250" t="str">
        <f t="shared" ca="1" si="8"/>
        <v/>
      </c>
      <c r="K76" s="250"/>
      <c r="L76" s="250"/>
      <c r="M76" s="250"/>
      <c r="N76" s="252" t="str">
        <f ca="1">IF(DPAA保額="",IF(總檢核,IF(A76="","",'試算表 (66-70歲)'!O57),""),IF(保費分齡表對應=3,IF(總檢核,IF(A76="","",'試算表 (66-70歲)'!O57),""),""))</f>
        <v/>
      </c>
      <c r="O76" s="252"/>
      <c r="P76" s="252"/>
      <c r="Q76" s="252" t="str">
        <f ca="1">IF(DPAA保額="",IF(總檢核,IF($A76="","",SUM('試算表 (66-70歲)'!P57:AA57)),""),IF(保費分齡表對應=3,IF(總檢核,IF($A76="","",SUM('試算表 (66-70歲)'!P57:AA57)),""),""))</f>
        <v/>
      </c>
      <c r="R76" s="252"/>
      <c r="S76" s="252"/>
      <c r="T76" s="250" t="str">
        <f t="shared" ca="1" si="9"/>
        <v/>
      </c>
      <c r="U76" s="250"/>
      <c r="V76" s="250"/>
      <c r="W76" s="250"/>
    </row>
    <row r="77" spans="1:23" hidden="1">
      <c r="A77" s="251" t="str">
        <f ca="1">IF(DPAA保額="",IF(總檢核,'試算表 (66-70歲)'!A58,""),IF(保費分齡表對應=3,IF(總檢核,'試算表 (66-70歲)'!A58,""),""))</f>
        <v/>
      </c>
      <c r="B77" s="251"/>
      <c r="C77" s="251"/>
      <c r="D77" s="252" t="str">
        <f ca="1">IF(DPAA保額="",IF(總檢核,IF(A76=分齡表最大顯示年齡,"***以下空白***",IF(A77&lt;=分齡表最大顯示年齡,'試算表 (66-70歲)'!B58,"")),""),IF(保費分齡表對應=3,IF(總檢核,IF(A76=分齡表最大顯示年齡,"***以下空白***",IF(A77&lt;=分齡表最大顯示年齡,'試算表 (66-70歲)'!B58,"")),""),""))</f>
        <v/>
      </c>
      <c r="E77" s="252"/>
      <c r="F77" s="252"/>
      <c r="G77" s="250" t="str">
        <f ca="1">IF(DPAA保額="",IF(總檢核,IF($A77="","",SUM('試算表 (66-70歲)'!C58:N58)),""),IF(保費分齡表對應=3,IF(總檢核,IF($A77="","",SUM('試算表 (66-70歲)'!C58:N58)),""),""))</f>
        <v/>
      </c>
      <c r="H77" s="250"/>
      <c r="I77" s="250"/>
      <c r="J77" s="250" t="str">
        <f t="shared" ca="1" si="8"/>
        <v/>
      </c>
      <c r="K77" s="250"/>
      <c r="L77" s="250"/>
      <c r="M77" s="250"/>
      <c r="N77" s="252" t="str">
        <f ca="1">IF(DPAA保額="",IF(總檢核,IF(A77="","",'試算表 (66-70歲)'!O58),""),IF(保費分齡表對應=3,IF(總檢核,IF(A77="","",'試算表 (66-70歲)'!O58),""),""))</f>
        <v/>
      </c>
      <c r="O77" s="252"/>
      <c r="P77" s="252"/>
      <c r="Q77" s="252" t="str">
        <f ca="1">IF(DPAA保額="",IF(總檢核,IF($A77="","",SUM('試算表 (66-70歲)'!P58:AA58)),""),IF(保費分齡表對應=3,IF(總檢核,IF($A77="","",SUM('試算表 (66-70歲)'!P58:AA58)),""),""))</f>
        <v/>
      </c>
      <c r="R77" s="252"/>
      <c r="S77" s="252"/>
      <c r="T77" s="250" t="str">
        <f t="shared" ca="1" si="9"/>
        <v/>
      </c>
      <c r="U77" s="250"/>
      <c r="V77" s="250"/>
      <c r="W77" s="250"/>
    </row>
    <row r="78" spans="1:23" hidden="1">
      <c r="A78" s="254" t="str">
        <f ca="1">IF(DPAA保額="",IF(總檢核,'試算表 (66-70歲)'!A59,""),IF(保費分齡表對應=3,IF(總檢核,'試算表 (66-70歲)'!A59,""),""))</f>
        <v/>
      </c>
      <c r="B78" s="254"/>
      <c r="C78" s="254"/>
      <c r="D78" s="255" t="str">
        <f ca="1">IF(DPAA保額="",IF(總檢核,IF(A77=分齡表最大顯示年齡,"***以下空白***",IF(A78&lt;=分齡表最大顯示年齡,'試算表 (66-70歲)'!B59,"")),""),IF(保費分齡表對應=3,IF(總檢核,IF(A77=分齡表最大顯示年齡,"***以下空白***",IF(A78&lt;=分齡表最大顯示年齡,'試算表 (66-70歲)'!B59,"")),""),""))</f>
        <v/>
      </c>
      <c r="E78" s="255"/>
      <c r="F78" s="255"/>
      <c r="G78" s="253" t="str">
        <f ca="1">IF(DPAA保額="",IF(總檢核,IF($A78="","",SUM('試算表 (66-70歲)'!C59:N59)),""),IF(保費分齡表對應=3,IF(總檢核,IF($A78="","",SUM('試算表 (66-70歲)'!C59:N59)),""),""))</f>
        <v/>
      </c>
      <c r="H78" s="253"/>
      <c r="I78" s="253"/>
      <c r="J78" s="253" t="str">
        <f t="shared" ca="1" si="8"/>
        <v/>
      </c>
      <c r="K78" s="253"/>
      <c r="L78" s="253"/>
      <c r="M78" s="253"/>
      <c r="N78" s="255" t="str">
        <f ca="1">IF(DPAA保額="",IF(總檢核,IF(A78="","",'試算表 (66-70歲)'!O59),""),IF(保費分齡表對應=3,IF(總檢核,IF(A78="","",'試算表 (66-70歲)'!O59),""),""))</f>
        <v/>
      </c>
      <c r="O78" s="255"/>
      <c r="P78" s="255"/>
      <c r="Q78" s="255" t="str">
        <f ca="1">IF(DPAA保額="",IF(總檢核,IF($A78="","",SUM('試算表 (66-70歲)'!P59:AA59)),""),IF(保費分齡表對應=3,IF(總檢核,IF($A78="","",SUM('試算表 (66-70歲)'!P59:AA59)),""),""))</f>
        <v/>
      </c>
      <c r="R78" s="255"/>
      <c r="S78" s="255"/>
      <c r="T78" s="253" t="str">
        <f t="shared" ca="1" si="9"/>
        <v/>
      </c>
      <c r="U78" s="253"/>
      <c r="V78" s="253"/>
      <c r="W78" s="253"/>
    </row>
    <row r="79" spans="1:23" hidden="1">
      <c r="A79" s="251" t="str">
        <f ca="1">IF(DPAA保額="",IF(總檢核,'試算表 (66-70歲)'!A60,""),IF(保費分齡表對應=3,IF(總檢核,'試算表 (66-70歲)'!A60,""),""))</f>
        <v/>
      </c>
      <c r="B79" s="251"/>
      <c r="C79" s="251"/>
      <c r="D79" s="252" t="str">
        <f ca="1">IF(DPAA保額="",IF(總檢核,IF(A78=分齡表最大顯示年齡,"***以下空白***",IF(A79&lt;=分齡表最大顯示年齡,'試算表 (66-70歲)'!B60,"")),""),IF(保費分齡表對應=3,IF(總檢核,IF(A78=分齡表最大顯示年齡,"***以下空白***",IF(A79&lt;=分齡表最大顯示年齡,'試算表 (66-70歲)'!B60,"")),""),""))</f>
        <v/>
      </c>
      <c r="E79" s="252"/>
      <c r="F79" s="252"/>
      <c r="G79" s="250" t="str">
        <f ca="1">IF(DPAA保額="",IF(總檢核,IF($A79="","",SUM('試算表 (66-70歲)'!C60:N60)),""),IF(保費分齡表對應=3,IF(總檢核,IF($A79="","",SUM('試算表 (66-70歲)'!C60:N60)),""),""))</f>
        <v/>
      </c>
      <c r="H79" s="250"/>
      <c r="I79" s="250"/>
      <c r="J79" s="250" t="str">
        <f t="shared" ca="1" si="8"/>
        <v/>
      </c>
      <c r="K79" s="250"/>
      <c r="L79" s="250"/>
      <c r="M79" s="250"/>
      <c r="N79" s="252" t="str">
        <f ca="1">IF(DPAA保額="",IF(總檢核,IF(A79="","",'試算表 (66-70歲)'!O60),""),IF(保費分齡表對應=3,IF(總檢核,IF(A79="","",'試算表 (66-70歲)'!O60),""),""))</f>
        <v/>
      </c>
      <c r="O79" s="252"/>
      <c r="P79" s="252"/>
      <c r="Q79" s="252" t="str">
        <f ca="1">IF(DPAA保額="",IF(總檢核,IF($A79="","",SUM('試算表 (66-70歲)'!P60:AA60)),""),IF(保費分齡表對應=3,IF(總檢核,IF($A79="","",SUM('試算表 (66-70歲)'!P60:AA60)),""),""))</f>
        <v/>
      </c>
      <c r="R79" s="252"/>
      <c r="S79" s="252"/>
      <c r="T79" s="250" t="str">
        <f t="shared" ca="1" si="9"/>
        <v/>
      </c>
      <c r="U79" s="250"/>
      <c r="V79" s="250"/>
      <c r="W79" s="250"/>
    </row>
    <row r="80" spans="1:23" hidden="1">
      <c r="A80" s="251" t="str">
        <f ca="1">IF(DPAA保額="",IF(總檢核,'試算表 (66-70歲)'!A61,""),IF(保費分齡表對應=3,IF(總檢核,'試算表 (66-70歲)'!A61,""),""))</f>
        <v/>
      </c>
      <c r="B80" s="251"/>
      <c r="C80" s="251"/>
      <c r="D80" s="252" t="str">
        <f ca="1">IF(DPAA保額="",IF(總檢核,IF(A79=分齡表最大顯示年齡,"***以下空白***",IF(A80&lt;=分齡表最大顯示年齡,'試算表 (66-70歲)'!B61,"")),""),IF(保費分齡表對應=3,IF(總檢核,IF(A79=分齡表最大顯示年齡,"***以下空白***",IF(A80&lt;=分齡表最大顯示年齡,'試算表 (66-70歲)'!B61,"")),""),""))</f>
        <v/>
      </c>
      <c r="E80" s="252"/>
      <c r="F80" s="252"/>
      <c r="G80" s="250" t="str">
        <f ca="1">IF(DPAA保額="",IF(總檢核,IF($A80="","",SUM('試算表 (66-70歲)'!C61:N61)),""),IF(保費分齡表對應=3,IF(總檢核,IF($A80="","",SUM('試算表 (66-70歲)'!C61:N61)),""),""))</f>
        <v/>
      </c>
      <c r="H80" s="250"/>
      <c r="I80" s="250"/>
      <c r="J80" s="250" t="str">
        <f t="shared" ca="1" si="8"/>
        <v/>
      </c>
      <c r="K80" s="250"/>
      <c r="L80" s="250"/>
      <c r="M80" s="250"/>
      <c r="N80" s="252" t="str">
        <f ca="1">IF(DPAA保額="",IF(總檢核,IF(A80="","",'試算表 (66-70歲)'!O61),""),IF(保費分齡表對應=3,IF(總檢核,IF(A80="","",'試算表 (66-70歲)'!O61),""),""))</f>
        <v/>
      </c>
      <c r="O80" s="252"/>
      <c r="P80" s="252"/>
      <c r="Q80" s="252" t="str">
        <f ca="1">IF(DPAA保額="",IF(總檢核,IF($A80="","",SUM('試算表 (66-70歲)'!P61:AA61)),""),IF(保費分齡表對應=3,IF(總檢核,IF($A80="","",SUM('試算表 (66-70歲)'!P61:AA61)),""),""))</f>
        <v/>
      </c>
      <c r="R80" s="252"/>
      <c r="S80" s="252"/>
      <c r="T80" s="250" t="str">
        <f t="shared" ca="1" si="9"/>
        <v/>
      </c>
      <c r="U80" s="250"/>
      <c r="V80" s="250"/>
      <c r="W80" s="250"/>
    </row>
    <row r="81" spans="1:23" hidden="1">
      <c r="A81" s="251" t="str">
        <f ca="1">IF(DPAA保額="",IF(總檢核,'試算表 (66-70歲)'!A62,""),IF(保費分齡表對應=3,IF(總檢核,'試算表 (66-70歲)'!A62,""),""))</f>
        <v/>
      </c>
      <c r="B81" s="251"/>
      <c r="C81" s="251"/>
      <c r="D81" s="252" t="str">
        <f ca="1">IF(DPAA保額="",IF(總檢核,IF(A80=分齡表最大顯示年齡,"***以下空白***",IF(A81&lt;=分齡表最大顯示年齡,'試算表 (66-70歲)'!B62,"")),""),IF(保費分齡表對應=3,IF(總檢核,IF(A80=分齡表最大顯示年齡,"***以下空白***",IF(A81&lt;=分齡表最大顯示年齡,'試算表 (66-70歲)'!B62,"")),""),""))</f>
        <v/>
      </c>
      <c r="E81" s="252"/>
      <c r="F81" s="252"/>
      <c r="G81" s="250" t="str">
        <f ca="1">IF(DPAA保額="",IF(總檢核,IF($A81="","",SUM('試算表 (66-70歲)'!C62:N62)),""),IF(保費分齡表對應=3,IF(總檢核,IF($A81="","",SUM('試算表 (66-70歲)'!C62:N62)),""),""))</f>
        <v/>
      </c>
      <c r="H81" s="250"/>
      <c r="I81" s="250"/>
      <c r="J81" s="250" t="str">
        <f t="shared" ca="1" si="8"/>
        <v/>
      </c>
      <c r="K81" s="250"/>
      <c r="L81" s="250"/>
      <c r="M81" s="250"/>
      <c r="N81" s="252" t="str">
        <f ca="1">IF(DPAA保額="",IF(總檢核,IF(A81="","",'試算表 (66-70歲)'!O62),""),IF(保費分齡表對應=3,IF(總檢核,IF(A81="","",'試算表 (66-70歲)'!O62),""),""))</f>
        <v/>
      </c>
      <c r="O81" s="252"/>
      <c r="P81" s="252"/>
      <c r="Q81" s="252" t="str">
        <f ca="1">IF(DPAA保額="",IF(總檢核,IF($A81="","",SUM('試算表 (66-70歲)'!P62:AA62)),""),IF(保費分齡表對應=3,IF(總檢核,IF($A81="","",SUM('試算表 (66-70歲)'!P62:AA62)),""),""))</f>
        <v/>
      </c>
      <c r="R81" s="252"/>
      <c r="S81" s="252"/>
      <c r="T81" s="250" t="str">
        <f t="shared" ca="1" si="9"/>
        <v/>
      </c>
      <c r="U81" s="250"/>
      <c r="V81" s="250"/>
      <c r="W81" s="250"/>
    </row>
    <row r="82" spans="1:23" hidden="1">
      <c r="A82" s="251" t="str">
        <f ca="1">IF(DPAA保額="",IF(總檢核,'試算表 (66-70歲)'!A63,""),IF(保費分齡表對應=3,IF(總檢核,'試算表 (66-70歲)'!A63,""),""))</f>
        <v/>
      </c>
      <c r="B82" s="251"/>
      <c r="C82" s="251"/>
      <c r="D82" s="252" t="str">
        <f ca="1">IF(DPAA保額="",IF(總檢核,IF(A81=分齡表最大顯示年齡,"***以下空白***",IF(A82&lt;=分齡表最大顯示年齡,'試算表 (66-70歲)'!B63,"")),""),IF(保費分齡表對應=3,IF(總檢核,IF(A81=分齡表最大顯示年齡,"***以下空白***",IF(A82&lt;=分齡表最大顯示年齡,'試算表 (66-70歲)'!B63,"")),""),""))</f>
        <v/>
      </c>
      <c r="E82" s="252"/>
      <c r="F82" s="252"/>
      <c r="G82" s="250" t="str">
        <f ca="1">IF(DPAA保額="",IF(總檢核,IF($A82="","",SUM('試算表 (66-70歲)'!C63:N63)),""),IF(保費分齡表對應=3,IF(總檢核,IF($A82="","",SUM('試算表 (66-70歲)'!C63:N63)),""),""))</f>
        <v/>
      </c>
      <c r="H82" s="250"/>
      <c r="I82" s="250"/>
      <c r="J82" s="250" t="str">
        <f t="shared" ca="1" si="8"/>
        <v/>
      </c>
      <c r="K82" s="250"/>
      <c r="L82" s="250"/>
      <c r="M82" s="250"/>
      <c r="N82" s="252" t="str">
        <f ca="1">IF(DPAA保額="",IF(總檢核,IF(A82="","",'試算表 (66-70歲)'!O63),""),IF(保費分齡表對應=3,IF(總檢核,IF(A82="","",'試算表 (66-70歲)'!O63),""),""))</f>
        <v/>
      </c>
      <c r="O82" s="252"/>
      <c r="P82" s="252"/>
      <c r="Q82" s="252" t="str">
        <f ca="1">IF(DPAA保額="",IF(總檢核,IF($A82="","",SUM('試算表 (66-70歲)'!P63:AA63)),""),IF(保費分齡表對應=3,IF(總檢核,IF($A82="","",SUM('試算表 (66-70歲)'!P63:AA63)),""),""))</f>
        <v/>
      </c>
      <c r="R82" s="252"/>
      <c r="S82" s="252"/>
      <c r="T82" s="250" t="str">
        <f t="shared" ca="1" si="9"/>
        <v/>
      </c>
      <c r="U82" s="250"/>
      <c r="V82" s="250"/>
      <c r="W82" s="250"/>
    </row>
    <row r="83" spans="1:23" hidden="1">
      <c r="A83" s="254" t="str">
        <f ca="1">IF(DPAA保額="",IF(總檢核,'試算表 (66-70歲)'!A64,""),IF(保費分齡表對應=3,IF(總檢核,'試算表 (66-70歲)'!A64,""),""))</f>
        <v/>
      </c>
      <c r="B83" s="254"/>
      <c r="C83" s="254"/>
      <c r="D83" s="255" t="str">
        <f ca="1">IF(DPAA保額="",IF(總檢核,IF(A82=分齡表最大顯示年齡,"***以下空白***",IF(A83&lt;=分齡表最大顯示年齡,'試算表 (66-70歲)'!B64,"")),""),IF(保費分齡表對應=3,IF(總檢核,IF(A82=分齡表最大顯示年齡,"***以下空白***",IF(A83&lt;=分齡表最大顯示年齡,'試算表 (66-70歲)'!B64,"")),""),""))</f>
        <v/>
      </c>
      <c r="E83" s="255"/>
      <c r="F83" s="255"/>
      <c r="G83" s="253" t="str">
        <f ca="1">IF(DPAA保額="",IF(總檢核,IF($A83="","",SUM('試算表 (66-70歲)'!C64:N64)),""),IF(保費分齡表對應=3,IF(總檢核,IF($A83="","",SUM('試算表 (66-70歲)'!C64:N64)),""),""))</f>
        <v/>
      </c>
      <c r="H83" s="253"/>
      <c r="I83" s="253"/>
      <c r="J83" s="253" t="str">
        <f t="shared" ca="1" si="8"/>
        <v/>
      </c>
      <c r="K83" s="253"/>
      <c r="L83" s="253"/>
      <c r="M83" s="253"/>
      <c r="N83" s="255" t="str">
        <f ca="1">IF(DPAA保額="",IF(總檢核,IF(A83="","",'試算表 (66-70歲)'!O64),""),IF(保費分齡表對應=3,IF(總檢核,IF(A83="","",'試算表 (66-70歲)'!O64),""),""))</f>
        <v/>
      </c>
      <c r="O83" s="255"/>
      <c r="P83" s="255"/>
      <c r="Q83" s="255" t="str">
        <f ca="1">IF(DPAA保額="",IF(總檢核,IF($A83="","",SUM('試算表 (66-70歲)'!P64:AA64)),""),IF(保費分齡表對應=3,IF(總檢核,IF($A83="","",SUM('試算表 (66-70歲)'!P64:AA64)),""),""))</f>
        <v/>
      </c>
      <c r="R83" s="255"/>
      <c r="S83" s="255"/>
      <c r="T83" s="253" t="str">
        <f t="shared" ca="1" si="9"/>
        <v/>
      </c>
      <c r="U83" s="253"/>
      <c r="V83" s="253"/>
      <c r="W83" s="253"/>
    </row>
    <row r="84" spans="1:23" hidden="1">
      <c r="A84" s="251" t="str">
        <f ca="1">IF(DPAA保額="",IF(總檢核,'試算表 (66-70歲)'!A65,""),IF(保費分齡表對應=3,IF(總檢核,'試算表 (66-70歲)'!A65,""),""))</f>
        <v/>
      </c>
      <c r="B84" s="251"/>
      <c r="C84" s="251"/>
      <c r="D84" s="252" t="str">
        <f ca="1">IF(DPAA保額="",IF(總檢核,IF(A83=分齡表最大顯示年齡,"***以下空白***",IF(A84&lt;=分齡表最大顯示年齡,'試算表 (66-70歲)'!B65,"")),""),IF(保費分齡表對應=3,IF(總檢核,IF(A83=分齡表最大顯示年齡,"***以下空白***",IF(A84&lt;=分齡表最大顯示年齡,'試算表 (66-70歲)'!B65,"")),""),""))</f>
        <v/>
      </c>
      <c r="E84" s="252"/>
      <c r="F84" s="252"/>
      <c r="G84" s="250" t="str">
        <f ca="1">IF(DPAA保額="",IF(總檢核,IF($A84="","",SUM('試算表 (66-70歲)'!C65:N65)),""),IF(保費分齡表對應=3,IF(總檢核,IF($A84="","",SUM('試算表 (66-70歲)'!C65:N65)),""),""))</f>
        <v/>
      </c>
      <c r="H84" s="250"/>
      <c r="I84" s="250"/>
      <c r="J84" s="250" t="str">
        <f t="shared" ca="1" si="8"/>
        <v/>
      </c>
      <c r="K84" s="250"/>
      <c r="L84" s="250"/>
      <c r="M84" s="250"/>
      <c r="N84" s="252" t="str">
        <f ca="1">IF(DPAA保額="",IF(總檢核,IF(A84="","",'試算表 (66-70歲)'!O65),""),IF(保費分齡表對應=3,IF(總檢核,IF(A84="","",'試算表 (66-70歲)'!O65),""),""))</f>
        <v/>
      </c>
      <c r="O84" s="252"/>
      <c r="P84" s="252"/>
      <c r="Q84" s="252" t="str">
        <f ca="1">IF(DPAA保額="",IF(總檢核,IF($A84="","",SUM('試算表 (66-70歲)'!P65:AA65)),""),IF(保費分齡表對應=3,IF(總檢核,IF($A84="","",SUM('試算表 (66-70歲)'!P65:AA65)),""),""))</f>
        <v/>
      </c>
      <c r="R84" s="252"/>
      <c r="S84" s="252"/>
      <c r="T84" s="250" t="str">
        <f t="shared" ca="1" si="9"/>
        <v/>
      </c>
      <c r="U84" s="250"/>
      <c r="V84" s="250"/>
      <c r="W84" s="250"/>
    </row>
    <row r="85" spans="1:23" hidden="1">
      <c r="A85" s="251" t="str">
        <f ca="1">IF(DPAA保額="",IF(總檢核,'試算表 (66-70歲)'!A66,""),IF(保費分齡表對應=3,IF(總檢核,'試算表 (66-70歲)'!A66,""),""))</f>
        <v/>
      </c>
      <c r="B85" s="251"/>
      <c r="C85" s="251"/>
      <c r="D85" s="252" t="str">
        <f ca="1">IF(DPAA保額="",IF(總檢核,IF(A84=分齡表最大顯示年齡,"***以下空白***",IF(A85&lt;=分齡表最大顯示年齡,'試算表 (66-70歲)'!B66,"")),""),IF(保費分齡表對應=3,IF(總檢核,IF(A84=分齡表最大顯示年齡,"***以下空白***",IF(A85&lt;=分齡表最大顯示年齡,'試算表 (66-70歲)'!B66,"")),""),""))</f>
        <v/>
      </c>
      <c r="E85" s="252"/>
      <c r="F85" s="252"/>
      <c r="G85" s="250" t="str">
        <f ca="1">IF(DPAA保額="",IF(總檢核,IF($A85="","",SUM('試算表 (66-70歲)'!C66:N66)),""),IF(保費分齡表對應=3,IF(總檢核,IF($A85="","",SUM('試算表 (66-70歲)'!C66:N66)),""),""))</f>
        <v/>
      </c>
      <c r="H85" s="250"/>
      <c r="I85" s="250"/>
      <c r="J85" s="250" t="str">
        <f t="shared" ca="1" si="8"/>
        <v/>
      </c>
      <c r="K85" s="250"/>
      <c r="L85" s="250"/>
      <c r="M85" s="250"/>
      <c r="N85" s="252" t="str">
        <f ca="1">IF(DPAA保額="",IF(總檢核,IF(A85="","",'試算表 (66-70歲)'!O66),""),IF(保費分齡表對應=3,IF(總檢核,IF(A85="","",'試算表 (66-70歲)'!O66),""),""))</f>
        <v/>
      </c>
      <c r="O85" s="252"/>
      <c r="P85" s="252"/>
      <c r="Q85" s="252" t="str">
        <f ca="1">IF(DPAA保額="",IF(總檢核,IF($A85="","",SUM('試算表 (66-70歲)'!P66:AA66)),""),IF(保費分齡表對應=3,IF(總檢核,IF($A85="","",SUM('試算表 (66-70歲)'!P66:AA66)),""),""))</f>
        <v/>
      </c>
      <c r="R85" s="252"/>
      <c r="S85" s="252"/>
      <c r="T85" s="250" t="str">
        <f t="shared" ca="1" si="9"/>
        <v/>
      </c>
      <c r="U85" s="250"/>
      <c r="V85" s="250"/>
      <c r="W85" s="250"/>
    </row>
    <row r="86" spans="1:23" hidden="1">
      <c r="A86" s="251" t="str">
        <f ca="1">IF(DPAA保額="",IF(總檢核,'試算表 (66-70歲)'!A67,""),IF(保費分齡表對應=3,IF(總檢核,'試算表 (66-70歲)'!A67,""),""))</f>
        <v/>
      </c>
      <c r="B86" s="251"/>
      <c r="C86" s="251"/>
      <c r="D86" s="252" t="str">
        <f ca="1">IF(DPAA保額="",IF(總檢核,IF(A85=分齡表最大顯示年齡,"***以下空白***",IF(A86&lt;=分齡表最大顯示年齡,'試算表 (66-70歲)'!B67,"")),""),IF(保費分齡表對應=3,IF(總檢核,IF(A85=分齡表最大顯示年齡,"***以下空白***",IF(A86&lt;=分齡表最大顯示年齡,'試算表 (66-70歲)'!B67,"")),""),""))</f>
        <v/>
      </c>
      <c r="E86" s="252"/>
      <c r="F86" s="252"/>
      <c r="G86" s="250" t="str">
        <f ca="1">IF(DPAA保額="",IF(總檢核,IF($A86="","",SUM('試算表 (66-70歲)'!C67:N67)),""),IF(保費分齡表對應=3,IF(總檢核,IF($A86="","",SUM('試算表 (66-70歲)'!C67:N67)),""),""))</f>
        <v/>
      </c>
      <c r="H86" s="250"/>
      <c r="I86" s="250"/>
      <c r="J86" s="250" t="str">
        <f t="shared" ca="1" si="8"/>
        <v/>
      </c>
      <c r="K86" s="250"/>
      <c r="L86" s="250"/>
      <c r="M86" s="250"/>
      <c r="N86" s="252" t="str">
        <f ca="1">IF(DPAA保額="",IF(總檢核,IF(A86="","",'試算表 (66-70歲)'!O67),""),IF(保費分齡表對應=3,IF(總檢核,IF(A86="","",'試算表 (66-70歲)'!O67),""),""))</f>
        <v/>
      </c>
      <c r="O86" s="252"/>
      <c r="P86" s="252"/>
      <c r="Q86" s="252" t="str">
        <f ca="1">IF(DPAA保額="",IF(總檢核,IF($A86="","",SUM('試算表 (66-70歲)'!P67:AA67)),""),IF(保費分齡表對應=3,IF(總檢核,IF($A86="","",SUM('試算表 (66-70歲)'!P67:AA67)),""),""))</f>
        <v/>
      </c>
      <c r="R86" s="252"/>
      <c r="S86" s="252"/>
      <c r="T86" s="250" t="str">
        <f t="shared" ca="1" si="9"/>
        <v/>
      </c>
      <c r="U86" s="250"/>
      <c r="V86" s="250"/>
      <c r="W86" s="250"/>
    </row>
    <row r="87" spans="1:23" hidden="1">
      <c r="A87" s="251" t="str">
        <f ca="1">IF(DPAA保額="",IF(總檢核,'試算表 (66-70歲)'!A68,""),IF(保費分齡表對應=3,IF(總檢核,'試算表 (66-70歲)'!A68,""),""))</f>
        <v/>
      </c>
      <c r="B87" s="251"/>
      <c r="C87" s="251"/>
      <c r="D87" s="252" t="str">
        <f ca="1">IF(DPAA保額="",IF(總檢核,IF(A86=分齡表最大顯示年齡,"***以下空白***",IF(A87&lt;=分齡表最大顯示年齡,'試算表 (66-70歲)'!B68,"")),""),IF(保費分齡表對應=3,IF(總檢核,IF(A86=分齡表最大顯示年齡,"***以下空白***",IF(A87&lt;=分齡表最大顯示年齡,'試算表 (66-70歲)'!B68,"")),""),""))</f>
        <v/>
      </c>
      <c r="E87" s="252"/>
      <c r="F87" s="252"/>
      <c r="G87" s="250" t="str">
        <f ca="1">IF(DPAA保額="",IF(總檢核,IF($A87="","",SUM('試算表 (66-70歲)'!C68:N68)),""),IF(保費分齡表對應=3,IF(總檢核,IF($A87="","",SUM('試算表 (66-70歲)'!C68:N68)),""),""))</f>
        <v/>
      </c>
      <c r="H87" s="250"/>
      <c r="I87" s="250"/>
      <c r="J87" s="250" t="str">
        <f t="shared" ref="J87:J103" ca="1" si="10">IF(DPAA保額="",IF(總檢核,IF($A87="","",D87+G87),""),IF(保費分齡表對應=3,IF(總檢核,IF($A87="","",D87+G87),""),""))</f>
        <v/>
      </c>
      <c r="K87" s="250"/>
      <c r="L87" s="250"/>
      <c r="M87" s="250"/>
      <c r="N87" s="252" t="str">
        <f ca="1">IF(DPAA保額="",IF(總檢核,IF(A87="","",'試算表 (66-70歲)'!O68),""),IF(保費分齡表對應=3,IF(總檢核,IF(A87="","",'試算表 (66-70歲)'!O68),""),""))</f>
        <v/>
      </c>
      <c r="O87" s="252"/>
      <c r="P87" s="252"/>
      <c r="Q87" s="252" t="str">
        <f ca="1">IF(DPAA保額="",IF(總檢核,IF($A87="","",SUM('試算表 (66-70歲)'!P68:AA68)),""),IF(保費分齡表對應=3,IF(總檢核,IF($A87="","",SUM('試算表 (66-70歲)'!P68:AA68)),""),""))</f>
        <v/>
      </c>
      <c r="R87" s="252"/>
      <c r="S87" s="252"/>
      <c r="T87" s="250" t="str">
        <f t="shared" ref="T87:T103" ca="1" si="11">IF(DPAA保額="",IF(總檢核,IF($A87="","",N87+Q87),""),IF(保費分齡表對應=3,IF(總檢核,IF($A87="","",N87+Q87),""),""))</f>
        <v/>
      </c>
      <c r="U87" s="250"/>
      <c r="V87" s="250"/>
      <c r="W87" s="250"/>
    </row>
    <row r="88" spans="1:23" hidden="1">
      <c r="A88" s="254" t="str">
        <f ca="1">IF(DPAA保額="",IF(總檢核,'試算表 (66-70歲)'!A69,""),IF(保費分齡表對應=3,IF(總檢核,'試算表 (66-70歲)'!A69,""),""))</f>
        <v/>
      </c>
      <c r="B88" s="254"/>
      <c r="C88" s="254"/>
      <c r="D88" s="255" t="str">
        <f ca="1">IF(DPAA保額="",IF(總檢核,IF(A87=分齡表最大顯示年齡,"***以下空白***",IF(A88&lt;=分齡表最大顯示年齡,'試算表 (66-70歲)'!B69,"")),""),IF(保費分齡表對應=3,IF(總檢核,IF(A87=分齡表最大顯示年齡,"***以下空白***",IF(A88&lt;=分齡表最大顯示年齡,'試算表 (66-70歲)'!B69,"")),""),""))</f>
        <v/>
      </c>
      <c r="E88" s="255"/>
      <c r="F88" s="255"/>
      <c r="G88" s="253" t="str">
        <f ca="1">IF(DPAA保額="",IF(總檢核,IF($A88="","",SUM('試算表 (66-70歲)'!C69:N69)),""),IF(保費分齡表對應=3,IF(總檢核,IF($A88="","",SUM('試算表 (66-70歲)'!C69:N69)),""),""))</f>
        <v/>
      </c>
      <c r="H88" s="253"/>
      <c r="I88" s="253"/>
      <c r="J88" s="253" t="str">
        <f t="shared" ca="1" si="10"/>
        <v/>
      </c>
      <c r="K88" s="253"/>
      <c r="L88" s="253"/>
      <c r="M88" s="253"/>
      <c r="N88" s="255" t="str">
        <f ca="1">IF(DPAA保額="",IF(總檢核,IF(A88="","",'試算表 (66-70歲)'!O69),""),IF(保費分齡表對應=3,IF(總檢核,IF(A88="","",'試算表 (66-70歲)'!O69),""),""))</f>
        <v/>
      </c>
      <c r="O88" s="255"/>
      <c r="P88" s="255"/>
      <c r="Q88" s="255" t="str">
        <f ca="1">IF(DPAA保額="",IF(總檢核,IF($A88="","",SUM('試算表 (66-70歲)'!P69:AA69)),""),IF(保費分齡表對應=3,IF(總檢核,IF($A88="","",SUM('試算表 (66-70歲)'!P69:AA69)),""),""))</f>
        <v/>
      </c>
      <c r="R88" s="255"/>
      <c r="S88" s="255"/>
      <c r="T88" s="253" t="str">
        <f t="shared" ca="1" si="11"/>
        <v/>
      </c>
      <c r="U88" s="253"/>
      <c r="V88" s="253"/>
      <c r="W88" s="253"/>
    </row>
    <row r="89" spans="1:23" hidden="1">
      <c r="A89" s="251" t="str">
        <f ca="1">IF(DPAA保額="",IF(總檢核,'試算表 (66-70歲)'!A70,""),IF(保費分齡表對應=3,IF(總檢核,'試算表 (66-70歲)'!A70,""),""))</f>
        <v/>
      </c>
      <c r="B89" s="251"/>
      <c r="C89" s="251"/>
      <c r="D89" s="252" t="str">
        <f ca="1">IF(DPAA保額="",IF(總檢核,IF(A88=分齡表最大顯示年齡,"***以下空白***",IF(A89&lt;=分齡表最大顯示年齡,'試算表 (66-70歲)'!B70,"")),""),IF(保費分齡表對應=3,IF(總檢核,IF(A88=分齡表最大顯示年齡,"***以下空白***",IF(A89&lt;=分齡表最大顯示年齡,'試算表 (66-70歲)'!B70,"")),""),""))</f>
        <v/>
      </c>
      <c r="E89" s="252"/>
      <c r="F89" s="252"/>
      <c r="G89" s="250" t="str">
        <f ca="1">IF(DPAA保額="",IF(總檢核,IF($A89="","",SUM('試算表 (66-70歲)'!C70:N70)),""),IF(保費分齡表對應=3,IF(總檢核,IF($A89="","",SUM('試算表 (66-70歲)'!C70:N70)),""),""))</f>
        <v/>
      </c>
      <c r="H89" s="250"/>
      <c r="I89" s="250"/>
      <c r="J89" s="250" t="str">
        <f t="shared" ca="1" si="10"/>
        <v/>
      </c>
      <c r="K89" s="250"/>
      <c r="L89" s="250"/>
      <c r="M89" s="250"/>
      <c r="N89" s="252" t="str">
        <f ca="1">IF(DPAA保額="",IF(總檢核,IF(A89="","",'試算表 (66-70歲)'!O70),""),IF(保費分齡表對應=3,IF(總檢核,IF(A89="","",'試算表 (66-70歲)'!O70),""),""))</f>
        <v/>
      </c>
      <c r="O89" s="252"/>
      <c r="P89" s="252"/>
      <c r="Q89" s="252" t="str">
        <f ca="1">IF(DPAA保額="",IF(總檢核,IF($A89="","",SUM('試算表 (66-70歲)'!P70:AA70)),""),IF(保費分齡表對應=3,IF(總檢核,IF($A89="","",SUM('試算表 (66-70歲)'!P70:AA70)),""),""))</f>
        <v/>
      </c>
      <c r="R89" s="252"/>
      <c r="S89" s="252"/>
      <c r="T89" s="250" t="str">
        <f t="shared" ca="1" si="11"/>
        <v/>
      </c>
      <c r="U89" s="250"/>
      <c r="V89" s="250"/>
      <c r="W89" s="250"/>
    </row>
    <row r="90" spans="1:23" hidden="1">
      <c r="A90" s="251" t="str">
        <f ca="1">IF(DPAA保額="",IF(總檢核,'試算表 (66-70歲)'!A71,""),IF(保費分齡表對應=3,IF(總檢核,'試算表 (66-70歲)'!A71,""),""))</f>
        <v/>
      </c>
      <c r="B90" s="251"/>
      <c r="C90" s="251"/>
      <c r="D90" s="252" t="str">
        <f ca="1">IF(DPAA保額="",IF(總檢核,IF(A89=分齡表最大顯示年齡,"***以下空白***",IF(A90&lt;=分齡表最大顯示年齡,'試算表 (66-70歲)'!B71,"")),""),IF(保費分齡表對應=3,IF(總檢核,IF(A89=分齡表最大顯示年齡,"***以下空白***",IF(A90&lt;=分齡表最大顯示年齡,'試算表 (66-70歲)'!B71,"")),""),""))</f>
        <v/>
      </c>
      <c r="E90" s="252"/>
      <c r="F90" s="252"/>
      <c r="G90" s="250" t="str">
        <f ca="1">IF(DPAA保額="",IF(總檢核,IF($A90="","",SUM('試算表 (66-70歲)'!C71:N71)),""),IF(保費分齡表對應=3,IF(總檢核,IF($A90="","",SUM('試算表 (66-70歲)'!C71:N71)),""),""))</f>
        <v/>
      </c>
      <c r="H90" s="250"/>
      <c r="I90" s="250"/>
      <c r="J90" s="250" t="str">
        <f t="shared" ca="1" si="10"/>
        <v/>
      </c>
      <c r="K90" s="250"/>
      <c r="L90" s="250"/>
      <c r="M90" s="250"/>
      <c r="N90" s="252" t="str">
        <f ca="1">IF(DPAA保額="",IF(總檢核,IF(A90="","",'試算表 (66-70歲)'!O71),""),IF(保費分齡表對應=3,IF(總檢核,IF(A90="","",'試算表 (66-70歲)'!O71),""),""))</f>
        <v/>
      </c>
      <c r="O90" s="252"/>
      <c r="P90" s="252"/>
      <c r="Q90" s="252" t="str">
        <f ca="1">IF(DPAA保額="",IF(總檢核,IF($A90="","",SUM('試算表 (66-70歲)'!P71:AA71)),""),IF(保費分齡表對應=3,IF(總檢核,IF($A90="","",SUM('試算表 (66-70歲)'!P71:AA71)),""),""))</f>
        <v/>
      </c>
      <c r="R90" s="252"/>
      <c r="S90" s="252"/>
      <c r="T90" s="250" t="str">
        <f t="shared" ca="1" si="11"/>
        <v/>
      </c>
      <c r="U90" s="250"/>
      <c r="V90" s="250"/>
      <c r="W90" s="250"/>
    </row>
    <row r="91" spans="1:23" hidden="1">
      <c r="A91" s="251" t="str">
        <f ca="1">IF(DPAA保額="",IF(總檢核,'試算表 (66-70歲)'!A72,""),IF(保費分齡表對應=3,IF(總檢核,'試算表 (66-70歲)'!A72,""),""))</f>
        <v/>
      </c>
      <c r="B91" s="251"/>
      <c r="C91" s="251"/>
      <c r="D91" s="252" t="str">
        <f ca="1">IF(DPAA保額="",IF(總檢核,IF(A90=分齡表最大顯示年齡,"***以下空白***",IF(A91&lt;=分齡表最大顯示年齡,'試算表 (66-70歲)'!B72,"")),""),IF(保費分齡表對應=3,IF(總檢核,IF(A90=分齡表最大顯示年齡,"***以下空白***",IF(A91&lt;=分齡表最大顯示年齡,'試算表 (66-70歲)'!B72,"")),""),""))</f>
        <v/>
      </c>
      <c r="E91" s="252"/>
      <c r="F91" s="252"/>
      <c r="G91" s="250" t="str">
        <f ca="1">IF(DPAA保額="",IF(總檢核,IF($A91="","",SUM('試算表 (66-70歲)'!C72:N72)),""),IF(保費分齡表對應=3,IF(總檢核,IF($A91="","",SUM('試算表 (66-70歲)'!C72:N72)),""),""))</f>
        <v/>
      </c>
      <c r="H91" s="250"/>
      <c r="I91" s="250"/>
      <c r="J91" s="250" t="str">
        <f t="shared" ca="1" si="10"/>
        <v/>
      </c>
      <c r="K91" s="250"/>
      <c r="L91" s="250"/>
      <c r="M91" s="250"/>
      <c r="N91" s="252" t="str">
        <f ca="1">IF(DPAA保額="",IF(總檢核,IF(A91="","",'試算表 (66-70歲)'!O72),""),IF(保費分齡表對應=3,IF(總檢核,IF(A91="","",'試算表 (66-70歲)'!O72),""),""))</f>
        <v/>
      </c>
      <c r="O91" s="252"/>
      <c r="P91" s="252"/>
      <c r="Q91" s="252" t="str">
        <f ca="1">IF(DPAA保額="",IF(總檢核,IF($A91="","",SUM('試算表 (66-70歲)'!P72:AA72)),""),IF(保費分齡表對應=3,IF(總檢核,IF($A91="","",SUM('試算表 (66-70歲)'!P72:AA72)),""),""))</f>
        <v/>
      </c>
      <c r="R91" s="252"/>
      <c r="S91" s="252"/>
      <c r="T91" s="250" t="str">
        <f t="shared" ca="1" si="11"/>
        <v/>
      </c>
      <c r="U91" s="250"/>
      <c r="V91" s="250"/>
      <c r="W91" s="250"/>
    </row>
    <row r="92" spans="1:23" hidden="1">
      <c r="A92" s="251" t="str">
        <f ca="1">IF(DPAA保額="",IF(總檢核,'試算表 (66-70歲)'!A73,""),IF(保費分齡表對應=3,IF(總檢核,'試算表 (66-70歲)'!A73,""),""))</f>
        <v/>
      </c>
      <c r="B92" s="251"/>
      <c r="C92" s="251"/>
      <c r="D92" s="252" t="str">
        <f ca="1">IF(DPAA保額="",IF(總檢核,IF(A91=分齡表最大顯示年齡,"***以下空白***",IF(A92&lt;=分齡表最大顯示年齡,'試算表 (66-70歲)'!B73,"")),""),IF(保費分齡表對應=3,IF(總檢核,IF(A91=分齡表最大顯示年齡,"***以下空白***",IF(A92&lt;=分齡表最大顯示年齡,'試算表 (66-70歲)'!B73,"")),""),""))</f>
        <v/>
      </c>
      <c r="E92" s="252"/>
      <c r="F92" s="252"/>
      <c r="G92" s="250" t="str">
        <f ca="1">IF(DPAA保額="",IF(總檢核,IF($A92="","",SUM('試算表 (66-70歲)'!C73:N73)),""),IF(保費分齡表對應=3,IF(總檢核,IF($A92="","",SUM('試算表 (66-70歲)'!C73:N73)),""),""))</f>
        <v/>
      </c>
      <c r="H92" s="250"/>
      <c r="I92" s="250"/>
      <c r="J92" s="250" t="str">
        <f t="shared" ca="1" si="10"/>
        <v/>
      </c>
      <c r="K92" s="250"/>
      <c r="L92" s="250"/>
      <c r="M92" s="250"/>
      <c r="N92" s="252" t="str">
        <f ca="1">IF(DPAA保額="",IF(總檢核,IF(A92="","",'試算表 (66-70歲)'!O73),""),IF(保費分齡表對應=3,IF(總檢核,IF(A92="","",'試算表 (66-70歲)'!O73),""),""))</f>
        <v/>
      </c>
      <c r="O92" s="252"/>
      <c r="P92" s="252"/>
      <c r="Q92" s="252" t="str">
        <f ca="1">IF(DPAA保額="",IF(總檢核,IF($A92="","",SUM('試算表 (66-70歲)'!P73:AA73)),""),IF(保費分齡表對應=3,IF(總檢核,IF($A92="","",SUM('試算表 (66-70歲)'!P73:AA73)),""),""))</f>
        <v/>
      </c>
      <c r="R92" s="252"/>
      <c r="S92" s="252"/>
      <c r="T92" s="250" t="str">
        <f t="shared" ca="1" si="11"/>
        <v/>
      </c>
      <c r="U92" s="250"/>
      <c r="V92" s="250"/>
      <c r="W92" s="250"/>
    </row>
    <row r="93" spans="1:23" hidden="1">
      <c r="A93" s="254" t="str">
        <f ca="1">IF(DPAA保額="",IF(總檢核,'試算表 (66-70歲)'!A74,""),IF(保費分齡表對應=3,IF(總檢核,'試算表 (66-70歲)'!A74,""),""))</f>
        <v/>
      </c>
      <c r="B93" s="254"/>
      <c r="C93" s="254"/>
      <c r="D93" s="255" t="str">
        <f ca="1">IF(DPAA保額="",IF(總檢核,IF(A92=分齡表最大顯示年齡,"***以下空白***",IF(A93&lt;=分齡表最大顯示年齡,'試算表 (66-70歲)'!B74,"")),""),IF(保費分齡表對應=3,IF(總檢核,IF(A92=分齡表最大顯示年齡,"***以下空白***",IF(A93&lt;=分齡表最大顯示年齡,'試算表 (66-70歲)'!B74,"")),""),""))</f>
        <v/>
      </c>
      <c r="E93" s="255"/>
      <c r="F93" s="255"/>
      <c r="G93" s="253" t="str">
        <f ca="1">IF(DPAA保額="",IF(總檢核,IF($A93="","",SUM('試算表 (66-70歲)'!C74:N74)),""),IF(保費分齡表對應=3,IF(總檢核,IF($A93="","",SUM('試算表 (66-70歲)'!C74:N74)),""),""))</f>
        <v/>
      </c>
      <c r="H93" s="253"/>
      <c r="I93" s="253"/>
      <c r="J93" s="253" t="str">
        <f t="shared" ca="1" si="10"/>
        <v/>
      </c>
      <c r="K93" s="253"/>
      <c r="L93" s="253"/>
      <c r="M93" s="253"/>
      <c r="N93" s="255" t="str">
        <f ca="1">IF(DPAA保額="",IF(總檢核,IF(A93="","",'試算表 (66-70歲)'!O74),""),IF(保費分齡表對應=3,IF(總檢核,IF(A93="","",'試算表 (66-70歲)'!O74),""),""))</f>
        <v/>
      </c>
      <c r="O93" s="255"/>
      <c r="P93" s="255"/>
      <c r="Q93" s="255" t="str">
        <f ca="1">IF(DPAA保額="",IF(總檢核,IF($A93="","",SUM('試算表 (66-70歲)'!P74:AA74)),""),IF(保費分齡表對應=3,IF(總檢核,IF($A93="","",SUM('試算表 (66-70歲)'!P74:AA74)),""),""))</f>
        <v/>
      </c>
      <c r="R93" s="255"/>
      <c r="S93" s="255"/>
      <c r="T93" s="253" t="str">
        <f t="shared" ca="1" si="11"/>
        <v/>
      </c>
      <c r="U93" s="253"/>
      <c r="V93" s="253"/>
      <c r="W93" s="253"/>
    </row>
    <row r="94" spans="1:23" hidden="1">
      <c r="A94" s="251" t="str">
        <f ca="1">IF(DPAA保額="",IF(總檢核,'試算表 (66-70歲)'!A75,""),IF(保費分齡表對應=3,IF(總檢核,'試算表 (66-70歲)'!A75,""),""))</f>
        <v/>
      </c>
      <c r="B94" s="251"/>
      <c r="C94" s="251"/>
      <c r="D94" s="252" t="str">
        <f ca="1">IF(DPAA保額="",IF(總檢核,IF(A93=分齡表最大顯示年齡,"***以下空白***",IF(A94&lt;=分齡表最大顯示年齡,'試算表 (66-70歲)'!B75,"")),""),IF(保費分齡表對應=3,IF(總檢核,IF(A93=分齡表最大顯示年齡,"***以下空白***",IF(A94&lt;=分齡表最大顯示年齡,'試算表 (66-70歲)'!B75,"")),""),""))</f>
        <v/>
      </c>
      <c r="E94" s="252"/>
      <c r="F94" s="252"/>
      <c r="G94" s="250" t="str">
        <f ca="1">IF(DPAA保額="",IF(總檢核,IF($A94="","",SUM('試算表 (66-70歲)'!C75:N75)),""),IF(保費分齡表對應=3,IF(總檢核,IF($A94="","",SUM('試算表 (66-70歲)'!C75:N75)),""),""))</f>
        <v/>
      </c>
      <c r="H94" s="250"/>
      <c r="I94" s="250"/>
      <c r="J94" s="250" t="str">
        <f t="shared" ca="1" si="10"/>
        <v/>
      </c>
      <c r="K94" s="250"/>
      <c r="L94" s="250"/>
      <c r="M94" s="250"/>
      <c r="N94" s="252" t="str">
        <f ca="1">IF(DPAA保額="",IF(總檢核,IF(A94="","",'試算表 (66-70歲)'!O75),""),IF(保費分齡表對應=3,IF(總檢核,IF(A94="","",'試算表 (66-70歲)'!O75),""),""))</f>
        <v/>
      </c>
      <c r="O94" s="252"/>
      <c r="P94" s="252"/>
      <c r="Q94" s="252" t="str">
        <f ca="1">IF(DPAA保額="",IF(總檢核,IF($A94="","",SUM('試算表 (66-70歲)'!P75:AA75)),""),IF(保費分齡表對應=3,IF(總檢核,IF($A94="","",SUM('試算表 (66-70歲)'!P75:AA75)),""),""))</f>
        <v/>
      </c>
      <c r="R94" s="252"/>
      <c r="S94" s="252"/>
      <c r="T94" s="250" t="str">
        <f t="shared" ca="1" si="11"/>
        <v/>
      </c>
      <c r="U94" s="250"/>
      <c r="V94" s="250"/>
      <c r="W94" s="250"/>
    </row>
    <row r="95" spans="1:23" hidden="1">
      <c r="A95" s="251" t="str">
        <f ca="1">IF(DPAA保額="",IF(總檢核,'試算表 (66-70歲)'!A76,""),IF(保費分齡表對應=3,IF(總檢核,'試算表 (66-70歲)'!A76,""),""))</f>
        <v/>
      </c>
      <c r="B95" s="251"/>
      <c r="C95" s="251"/>
      <c r="D95" s="252" t="str">
        <f ca="1">IF(DPAA保額="",IF(總檢核,IF(A94=分齡表最大顯示年齡,"***以下空白***",IF(A95&lt;=分齡表最大顯示年齡,'試算表 (66-70歲)'!B76,"")),""),IF(保費分齡表對應=3,IF(總檢核,IF(A94=分齡表最大顯示年齡,"***以下空白***",IF(A95&lt;=分齡表最大顯示年齡,'試算表 (66-70歲)'!B76,"")),""),""))</f>
        <v/>
      </c>
      <c r="E95" s="252"/>
      <c r="F95" s="252"/>
      <c r="G95" s="250" t="str">
        <f ca="1">IF(DPAA保額="",IF(總檢核,IF($A95="","",SUM('試算表 (66-70歲)'!C76:N76)),""),IF(保費分齡表對應=3,IF(總檢核,IF($A95="","",SUM('試算表 (66-70歲)'!C76:N76)),""),""))</f>
        <v/>
      </c>
      <c r="H95" s="250"/>
      <c r="I95" s="250"/>
      <c r="J95" s="250" t="str">
        <f t="shared" ca="1" si="10"/>
        <v/>
      </c>
      <c r="K95" s="250"/>
      <c r="L95" s="250"/>
      <c r="M95" s="250"/>
      <c r="N95" s="252" t="str">
        <f ca="1">IF(DPAA保額="",IF(總檢核,IF(A95="","",'試算表 (66-70歲)'!O76),""),IF(保費分齡表對應=3,IF(總檢核,IF(A95="","",'試算表 (66-70歲)'!O76),""),""))</f>
        <v/>
      </c>
      <c r="O95" s="252"/>
      <c r="P95" s="252"/>
      <c r="Q95" s="252" t="str">
        <f ca="1">IF(DPAA保額="",IF(總檢核,IF($A95="","",SUM('試算表 (66-70歲)'!P76:AA76)),""),IF(保費分齡表對應=3,IF(總檢核,IF($A95="","",SUM('試算表 (66-70歲)'!P76:AA76)),""),""))</f>
        <v/>
      </c>
      <c r="R95" s="252"/>
      <c r="S95" s="252"/>
      <c r="T95" s="250" t="str">
        <f t="shared" ca="1" si="11"/>
        <v/>
      </c>
      <c r="U95" s="250"/>
      <c r="V95" s="250"/>
      <c r="W95" s="250"/>
    </row>
    <row r="96" spans="1:23" hidden="1">
      <c r="A96" s="251" t="str">
        <f ca="1">IF(DPAA保額="",IF(總檢核,'試算表 (66-70歲)'!A77,""),IF(保費分齡表對應=3,IF(總檢核,'試算表 (66-70歲)'!A77,""),""))</f>
        <v/>
      </c>
      <c r="B96" s="251"/>
      <c r="C96" s="251"/>
      <c r="D96" s="252" t="str">
        <f ca="1">IF(DPAA保額="",IF(總檢核,IF(A95=分齡表最大顯示年齡,"***以下空白***",IF(A96&lt;=分齡表最大顯示年齡,'試算表 (66-70歲)'!B77,"")),""),IF(保費分齡表對應=3,IF(總檢核,IF(A95=分齡表最大顯示年齡,"***以下空白***",IF(A96&lt;=分齡表最大顯示年齡,'試算表 (66-70歲)'!B77,"")),""),""))</f>
        <v/>
      </c>
      <c r="E96" s="252"/>
      <c r="F96" s="252"/>
      <c r="G96" s="250" t="str">
        <f ca="1">IF(DPAA保額="",IF(總檢核,IF($A96="","",SUM('試算表 (66-70歲)'!C77:N77)),""),IF(保費分齡表對應=3,IF(總檢核,IF($A96="","",SUM('試算表 (66-70歲)'!C77:N77)),""),""))</f>
        <v/>
      </c>
      <c r="H96" s="250"/>
      <c r="I96" s="250"/>
      <c r="J96" s="250" t="str">
        <f t="shared" ca="1" si="10"/>
        <v/>
      </c>
      <c r="K96" s="250"/>
      <c r="L96" s="250"/>
      <c r="M96" s="250"/>
      <c r="N96" s="252" t="str">
        <f ca="1">IF(DPAA保額="",IF(總檢核,IF(A96="","",'試算表 (66-70歲)'!O77),""),IF(保費分齡表對應=3,IF(總檢核,IF(A96="","",'試算表 (66-70歲)'!O77),""),""))</f>
        <v/>
      </c>
      <c r="O96" s="252"/>
      <c r="P96" s="252"/>
      <c r="Q96" s="252" t="str">
        <f ca="1">IF(DPAA保額="",IF(總檢核,IF($A96="","",SUM('試算表 (66-70歲)'!P77:AA77)),""),IF(保費分齡表對應=3,IF(總檢核,IF($A96="","",SUM('試算表 (66-70歲)'!P77:AA77)),""),""))</f>
        <v/>
      </c>
      <c r="R96" s="252"/>
      <c r="S96" s="252"/>
      <c r="T96" s="250" t="str">
        <f t="shared" ca="1" si="11"/>
        <v/>
      </c>
      <c r="U96" s="250"/>
      <c r="V96" s="250"/>
      <c r="W96" s="250"/>
    </row>
    <row r="97" spans="1:23" hidden="1">
      <c r="A97" s="251" t="str">
        <f ca="1">IF(DPAA保額="",IF(總檢核,'試算表 (66-70歲)'!A78,""),IF(保費分齡表對應=3,IF(總檢核,'試算表 (66-70歲)'!A78,""),""))</f>
        <v/>
      </c>
      <c r="B97" s="251"/>
      <c r="C97" s="251"/>
      <c r="D97" s="252" t="str">
        <f ca="1">IF(DPAA保額="",IF(總檢核,IF(A96=分齡表最大顯示年齡,"***以下空白***",IF(A97&lt;=分齡表最大顯示年齡,'試算表 (66-70歲)'!B78,"")),""),IF(保費分齡表對應=3,IF(總檢核,IF(A96=分齡表最大顯示年齡,"***以下空白***",IF(A97&lt;=分齡表最大顯示年齡,'試算表 (66-70歲)'!B78,"")),""),""))</f>
        <v/>
      </c>
      <c r="E97" s="252"/>
      <c r="F97" s="252"/>
      <c r="G97" s="250" t="str">
        <f ca="1">IF(DPAA保額="",IF(總檢核,IF($A97="","",SUM('試算表 (66-70歲)'!C78:N78)),""),IF(保費分齡表對應=3,IF(總檢核,IF($A97="","",SUM('試算表 (66-70歲)'!C78:N78)),""),""))</f>
        <v/>
      </c>
      <c r="H97" s="250"/>
      <c r="I97" s="250"/>
      <c r="J97" s="250" t="str">
        <f t="shared" ca="1" si="10"/>
        <v/>
      </c>
      <c r="K97" s="250"/>
      <c r="L97" s="250"/>
      <c r="M97" s="250"/>
      <c r="N97" s="252" t="str">
        <f ca="1">IF(DPAA保額="",IF(總檢核,IF(A97="","",'試算表 (66-70歲)'!O78),""),IF(保費分齡表對應=3,IF(總檢核,IF(A97="","",'試算表 (66-70歲)'!O78),""),""))</f>
        <v/>
      </c>
      <c r="O97" s="252"/>
      <c r="P97" s="252"/>
      <c r="Q97" s="252" t="str">
        <f ca="1">IF(DPAA保額="",IF(總檢核,IF($A97="","",SUM('試算表 (66-70歲)'!P78:AA78)),""),IF(保費分齡表對應=3,IF(總檢核,IF($A97="","",SUM('試算表 (66-70歲)'!P78:AA78)),""),""))</f>
        <v/>
      </c>
      <c r="R97" s="252"/>
      <c r="S97" s="252"/>
      <c r="T97" s="250" t="str">
        <f t="shared" ca="1" si="11"/>
        <v/>
      </c>
      <c r="U97" s="250"/>
      <c r="V97" s="250"/>
      <c r="W97" s="250"/>
    </row>
    <row r="98" spans="1:23" hidden="1">
      <c r="A98" s="254" t="str">
        <f ca="1">IF(DPAA保額="",IF(總檢核,'試算表 (66-70歲)'!A79,""),IF(保費分齡表對應=3,IF(總檢核,'試算表 (66-70歲)'!A79,""),""))</f>
        <v/>
      </c>
      <c r="B98" s="254"/>
      <c r="C98" s="254"/>
      <c r="D98" s="255" t="str">
        <f ca="1">IF(DPAA保額="",IF(總檢核,IF(A97=分齡表最大顯示年齡,"***以下空白***",IF(A98&lt;=分齡表最大顯示年齡,'試算表 (66-70歲)'!B79,"")),""),IF(保費分齡表對應=3,IF(總檢核,IF(A97=分齡表最大顯示年齡,"***以下空白***",IF(A98&lt;=分齡表最大顯示年齡,'試算表 (66-70歲)'!B79,"")),""),""))</f>
        <v/>
      </c>
      <c r="E98" s="255"/>
      <c r="F98" s="255"/>
      <c r="G98" s="253" t="str">
        <f ca="1">IF(DPAA保額="",IF(總檢核,IF($A98="","",SUM('試算表 (66-70歲)'!C79:N79)),""),IF(保費分齡表對應=3,IF(總檢核,IF($A98="","",SUM('試算表 (66-70歲)'!C79:N79)),""),""))</f>
        <v/>
      </c>
      <c r="H98" s="253"/>
      <c r="I98" s="253"/>
      <c r="J98" s="253" t="str">
        <f t="shared" ca="1" si="10"/>
        <v/>
      </c>
      <c r="K98" s="253"/>
      <c r="L98" s="253"/>
      <c r="M98" s="253"/>
      <c r="N98" s="255" t="str">
        <f ca="1">IF(DPAA保額="",IF(總檢核,IF(A98="","",'試算表 (66-70歲)'!O79),""),IF(保費分齡表對應=3,IF(總檢核,IF(A98="","",'試算表 (66-70歲)'!O79),""),""))</f>
        <v/>
      </c>
      <c r="O98" s="255"/>
      <c r="P98" s="255"/>
      <c r="Q98" s="256" t="str">
        <f ca="1">IF(DPAA保額="",IF(總檢核,IF($A98="","",SUM('試算表 (66-70歲)'!P79:AA79)),""),IF(保費分齡表對應=3,IF(總檢核,IF($A98="","",SUM('試算表 (66-70歲)'!P79:AA79)),""),""))</f>
        <v/>
      </c>
      <c r="R98" s="256"/>
      <c r="S98" s="256"/>
      <c r="T98" s="253" t="str">
        <f t="shared" ca="1" si="11"/>
        <v/>
      </c>
      <c r="U98" s="253"/>
      <c r="V98" s="253"/>
      <c r="W98" s="253"/>
    </row>
    <row r="99" spans="1:23" hidden="1">
      <c r="A99" s="251" t="str">
        <f ca="1">IF(DPAA保額="",IF(總檢核,'試算表 (66-70歲)'!A80,""),IF(保費分齡表對應=3,IF(總檢核,'試算表 (66-70歲)'!A80,""),""))</f>
        <v/>
      </c>
      <c r="B99" s="251"/>
      <c r="C99" s="251"/>
      <c r="D99" s="252" t="str">
        <f ca="1">IF(DPAA保額="",IF(總檢核,IF(A98=分齡表最大顯示年齡,"***以下空白***",IF(A99&lt;=分齡表最大顯示年齡,'試算表 (66-70歲)'!B80,"")),""),IF(保費分齡表對應=3,IF(總檢核,IF(A98=分齡表最大顯示年齡,"***以下空白***",IF(A99&lt;=分齡表最大顯示年齡,'試算表 (66-70歲)'!B80,"")),""),""))</f>
        <v/>
      </c>
      <c r="E99" s="252"/>
      <c r="F99" s="252"/>
      <c r="G99" s="250" t="str">
        <f ca="1">IF(DPAA保額="",IF(總檢核,IF($A99="","",SUM('試算表 (66-70歲)'!C80:N80)),""),IF(保費分齡表對應=3,IF(總檢核,IF($A99="","",SUM('試算表 (66-70歲)'!C80:N80)),""),""))</f>
        <v/>
      </c>
      <c r="H99" s="250"/>
      <c r="I99" s="250"/>
      <c r="J99" s="250" t="str">
        <f t="shared" ca="1" si="10"/>
        <v/>
      </c>
      <c r="K99" s="250"/>
      <c r="L99" s="250"/>
      <c r="M99" s="250"/>
      <c r="N99" s="252" t="str">
        <f ca="1">IF(DPAA保額="",IF(總檢核,IF(A99="","",'試算表 (66-70歲)'!O80),""),IF(保費分齡表對應=3,IF(總檢核,IF(A99="","",'試算表 (66-70歲)'!O80),""),""))</f>
        <v/>
      </c>
      <c r="O99" s="252"/>
      <c r="P99" s="252"/>
      <c r="Q99" s="252" t="str">
        <f ca="1">IF(DPAA保額="",IF(總檢核,IF($A99="","",SUM('試算表 (66-70歲)'!P80:AA80)),""),IF(保費分齡表對應=3,IF(總檢核,IF($A99="","",SUM('試算表 (66-70歲)'!P80:AA80)),""),""))</f>
        <v/>
      </c>
      <c r="R99" s="252"/>
      <c r="S99" s="252"/>
      <c r="T99" s="250" t="str">
        <f t="shared" ca="1" si="11"/>
        <v/>
      </c>
      <c r="U99" s="250"/>
      <c r="V99" s="250"/>
      <c r="W99" s="250"/>
    </row>
    <row r="100" spans="1:23" hidden="1">
      <c r="A100" s="251" t="str">
        <f ca="1">IF(DPAA保額="",IF(總檢核,'試算表 (66-70歲)'!A81,""),IF(保費分齡表對應=3,IF(總檢核,'試算表 (66-70歲)'!A81,""),""))</f>
        <v/>
      </c>
      <c r="B100" s="251"/>
      <c r="C100" s="251"/>
      <c r="D100" s="252" t="str">
        <f ca="1">IF(DPAA保額="",IF(總檢核,IF(A99=分齡表最大顯示年齡,"***以下空白***",IF(A100&lt;=分齡表最大顯示年齡,'試算表 (66-70歲)'!B81,"")),""),IF(保費分齡表對應=3,IF(總檢核,IF(A99=分齡表最大顯示年齡,"***以下空白***",IF(A100&lt;=分齡表最大顯示年齡,'試算表 (66-70歲)'!B81,"")),""),""))</f>
        <v/>
      </c>
      <c r="E100" s="252"/>
      <c r="F100" s="252"/>
      <c r="G100" s="250" t="str">
        <f ca="1">IF(DPAA保額="",IF(總檢核,IF($A100="","",SUM('試算表 (66-70歲)'!C81:N81)),""),IF(保費分齡表對應=3,IF(總檢核,IF($A100="","",SUM('試算表 (66-70歲)'!C81:N81)),""),""))</f>
        <v/>
      </c>
      <c r="H100" s="250"/>
      <c r="I100" s="250"/>
      <c r="J100" s="250" t="str">
        <f t="shared" ca="1" si="10"/>
        <v/>
      </c>
      <c r="K100" s="250"/>
      <c r="L100" s="250"/>
      <c r="M100" s="250"/>
      <c r="N100" s="252" t="str">
        <f ca="1">IF(DPAA保額="",IF(總檢核,IF(A100="","",'試算表 (66-70歲)'!O81),""),IF(保費分齡表對應=3,IF(總檢核,IF(A100="","",'試算表 (66-70歲)'!O81),""),""))</f>
        <v/>
      </c>
      <c r="O100" s="252"/>
      <c r="P100" s="252"/>
      <c r="Q100" s="252" t="str">
        <f ca="1">IF(DPAA保額="",IF(總檢核,IF($A100="","",SUM('試算表 (66-70歲)'!P81:AA81)),""),IF(保費分齡表對應=3,IF(總檢核,IF($A100="","",SUM('試算表 (66-70歲)'!P81:AA81)),""),""))</f>
        <v/>
      </c>
      <c r="R100" s="252"/>
      <c r="S100" s="252"/>
      <c r="T100" s="250" t="str">
        <f t="shared" ca="1" si="11"/>
        <v/>
      </c>
      <c r="U100" s="250"/>
      <c r="V100" s="250"/>
      <c r="W100" s="250"/>
    </row>
    <row r="101" spans="1:23" hidden="1">
      <c r="A101" s="251" t="str">
        <f ca="1">IF(DPAA保額="",IF(總檢核,'試算表 (66-70歲)'!A82,""),IF(保費分齡表對應=3,IF(總檢核,'試算表 (66-70歲)'!A82,""),""))</f>
        <v/>
      </c>
      <c r="B101" s="251"/>
      <c r="C101" s="251"/>
      <c r="D101" s="252" t="str">
        <f ca="1">IF(DPAA保額="",IF(總檢核,IF(A100=分齡表最大顯示年齡,"***以下空白***",IF(A101&lt;=分齡表最大顯示年齡,'試算表 (66-70歲)'!B82,"")),""),IF(保費分齡表對應=3,IF(總檢核,IF(A100=分齡表最大顯示年齡,"***以下空白***",IF(A101&lt;=分齡表最大顯示年齡,'試算表 (66-70歲)'!B82,"")),""),""))</f>
        <v/>
      </c>
      <c r="E101" s="252"/>
      <c r="F101" s="252"/>
      <c r="G101" s="250" t="str">
        <f ca="1">IF(DPAA保額="",IF(總檢核,IF($A101="","",SUM('試算表 (66-70歲)'!C82:N82)),""),IF(保費分齡表對應=3,IF(總檢核,IF($A101="","",SUM('試算表 (66-70歲)'!C82:N82)),""),""))</f>
        <v/>
      </c>
      <c r="H101" s="250"/>
      <c r="I101" s="250"/>
      <c r="J101" s="250" t="str">
        <f t="shared" ca="1" si="10"/>
        <v/>
      </c>
      <c r="K101" s="250"/>
      <c r="L101" s="250"/>
      <c r="M101" s="250"/>
      <c r="N101" s="252" t="str">
        <f ca="1">IF(DPAA保額="",IF(總檢核,IF(A101="","",'試算表 (66-70歲)'!O82),""),IF(保費分齡表對應=3,IF(總檢核,IF(A101="","",'試算表 (66-70歲)'!O82),""),""))</f>
        <v/>
      </c>
      <c r="O101" s="252"/>
      <c r="P101" s="252"/>
      <c r="Q101" s="252" t="str">
        <f ca="1">IF(DPAA保額="",IF(總檢核,IF($A101="","",SUM('試算表 (66-70歲)'!P82:AA82)),""),IF(保費分齡表對應=3,IF(總檢核,IF($A101="","",SUM('試算表 (66-70歲)'!P82:AA82)),""),""))</f>
        <v/>
      </c>
      <c r="R101" s="252"/>
      <c r="S101" s="252"/>
      <c r="T101" s="250" t="str">
        <f t="shared" ca="1" si="11"/>
        <v/>
      </c>
      <c r="U101" s="250"/>
      <c r="V101" s="250"/>
      <c r="W101" s="250"/>
    </row>
    <row r="102" spans="1:23" hidden="1">
      <c r="A102" s="251" t="str">
        <f ca="1">IF(DPAA保額="",IF(總檢核,'試算表 (66-70歲)'!A83,""),IF(保費分齡表對應=3,IF(總檢核,'試算表 (66-70歲)'!A83,""),""))</f>
        <v/>
      </c>
      <c r="B102" s="251"/>
      <c r="C102" s="251"/>
      <c r="D102" s="252" t="str">
        <f ca="1">IF(DPAA保額="",IF(總檢核,IF(A101=分齡表最大顯示年齡,"***以下空白***",IF(A102&lt;=分齡表最大顯示年齡,'試算表 (66-70歲)'!B83,"")),""),IF(保費分齡表對應=3,IF(總檢核,IF(A101=分齡表最大顯示年齡,"***以下空白***",IF(A102&lt;=分齡表最大顯示年齡,'試算表 (66-70歲)'!B83,"")),""),""))</f>
        <v/>
      </c>
      <c r="E102" s="252"/>
      <c r="F102" s="252"/>
      <c r="G102" s="250" t="str">
        <f ca="1">IF(DPAA保額="",IF(總檢核,IF($A102="","",SUM('試算表 (66-70歲)'!C83:N83)),""),IF(保費分齡表對應=3,IF(總檢核,IF($A102="","",SUM('試算表 (66-70歲)'!C83:N83)),""),""))</f>
        <v/>
      </c>
      <c r="H102" s="250"/>
      <c r="I102" s="250"/>
      <c r="J102" s="250" t="str">
        <f t="shared" ca="1" si="10"/>
        <v/>
      </c>
      <c r="K102" s="250"/>
      <c r="L102" s="250"/>
      <c r="M102" s="250"/>
      <c r="N102" s="252" t="str">
        <f ca="1">IF(DPAA保額="",IF(總檢核,IF(A102="","",'試算表 (66-70歲)'!O83),""),IF(保費分齡表對應=3,IF(總檢核,IF(A102="","",'試算表 (66-70歲)'!O83),""),""))</f>
        <v/>
      </c>
      <c r="O102" s="252"/>
      <c r="P102" s="252"/>
      <c r="Q102" s="252" t="str">
        <f ca="1">IF(DPAA保額="",IF(總檢核,IF($A102="","",SUM('試算表 (66-70歲)'!P83:AA83)),""),IF(保費分齡表對應=3,IF(總檢核,IF($A102="","",SUM('試算表 (66-70歲)'!P83:AA83)),""),""))</f>
        <v/>
      </c>
      <c r="R102" s="252"/>
      <c r="S102" s="252"/>
      <c r="T102" s="250" t="str">
        <f t="shared" ca="1" si="11"/>
        <v/>
      </c>
      <c r="U102" s="250"/>
      <c r="V102" s="250"/>
      <c r="W102" s="250"/>
    </row>
    <row r="103" spans="1:23" ht="16" hidden="1" thickBot="1">
      <c r="A103" s="259" t="str">
        <f ca="1">IF(DPAA保額="",IF(總檢核,'試算表 (66-70歲)'!A84,""),IF(保費分齡表對應=3,IF(總檢核,'試算表 (66-70歲)'!A84,""),""))</f>
        <v/>
      </c>
      <c r="B103" s="259"/>
      <c r="C103" s="259"/>
      <c r="D103" s="260" t="str">
        <f ca="1">IF(DPAA保額="",IF(總檢核,IF(A102=分齡表最大顯示年齡,"***以下空白***",IF(A103&lt;=分齡表最大顯示年齡,'試算表 (66-70歲)'!B84,"")),""),IF(保費分齡表對應=3,IF(總檢核,IF(A102=分齡表最大顯示年齡,"***以下空白***",IF(A103&lt;=分齡表最大顯示年齡,'試算表 (66-70歲)'!B84,"")),""),""))</f>
        <v/>
      </c>
      <c r="E103" s="260"/>
      <c r="F103" s="260"/>
      <c r="G103" s="257" t="str">
        <f ca="1">IF(DPAA保額="",IF(總檢核,IF($A103="","",SUM('試算表 (66-70歲)'!C84:N84)),""),IF(保費分齡表對應=3,IF(總檢核,IF($A103="","",SUM('試算表 (66-70歲)'!C84:N84)),""),""))</f>
        <v/>
      </c>
      <c r="H103" s="257"/>
      <c r="I103" s="257"/>
      <c r="J103" s="257" t="str">
        <f t="shared" ca="1" si="10"/>
        <v/>
      </c>
      <c r="K103" s="257"/>
      <c r="L103" s="257"/>
      <c r="M103" s="257"/>
      <c r="N103" s="260" t="str">
        <f ca="1">IF(DPAA保額="",IF(總檢核,IF(A103="","",'試算表 (66-70歲)'!O84),""),IF(保費分齡表對應=3,IF(總檢核,IF(A103="","",'試算表 (66-70歲)'!O84),""),""))</f>
        <v/>
      </c>
      <c r="O103" s="260"/>
      <c r="P103" s="260"/>
      <c r="Q103" s="260" t="str">
        <f ca="1">IF(DPAA保額="",IF(總檢核,IF($A103="","",SUM('試算表 (66-70歲)'!P84:AA84)),""),IF(保費分齡表對應=3,IF(總檢核,IF($A103="","",SUM('試算表 (66-70歲)'!P84:AA84)),""),""))</f>
        <v/>
      </c>
      <c r="R103" s="260"/>
      <c r="S103" s="260"/>
      <c r="T103" s="257" t="str">
        <f t="shared" ca="1" si="11"/>
        <v/>
      </c>
      <c r="U103" s="257"/>
      <c r="V103" s="257"/>
      <c r="W103" s="257"/>
    </row>
    <row r="104" spans="1:23" ht="18.5">
      <c r="A104" s="89" t="s">
        <v>176</v>
      </c>
      <c r="B104" s="258" t="s">
        <v>189</v>
      </c>
      <c r="C104" s="258"/>
      <c r="D104" s="258"/>
      <c r="E104" s="258"/>
      <c r="F104" s="258"/>
      <c r="G104" s="258"/>
      <c r="H104" s="258"/>
      <c r="I104" s="258"/>
      <c r="J104" s="258"/>
      <c r="K104" s="258"/>
      <c r="L104" s="258"/>
      <c r="M104" s="258"/>
      <c r="N104" s="258"/>
      <c r="O104" s="258"/>
      <c r="P104" s="258"/>
      <c r="Q104" s="258"/>
      <c r="R104" s="258"/>
      <c r="S104" s="258"/>
      <c r="T104" s="258"/>
      <c r="U104" s="258"/>
      <c r="V104" s="258"/>
      <c r="W104" s="258"/>
    </row>
    <row r="105" spans="1:23">
      <c r="A105" s="89" t="s">
        <v>176</v>
      </c>
      <c r="B105" s="258" t="s">
        <v>190</v>
      </c>
      <c r="C105" s="258"/>
      <c r="D105" s="258"/>
      <c r="E105" s="258"/>
      <c r="F105" s="258"/>
      <c r="G105" s="258"/>
      <c r="H105" s="258"/>
      <c r="I105" s="258"/>
      <c r="J105" s="258"/>
      <c r="K105" s="258"/>
      <c r="L105" s="258"/>
      <c r="M105" s="258"/>
      <c r="N105" s="258"/>
      <c r="O105" s="258"/>
      <c r="P105" s="258"/>
      <c r="Q105" s="258"/>
      <c r="R105" s="258"/>
      <c r="S105" s="258"/>
      <c r="T105" s="258"/>
      <c r="U105" s="258"/>
      <c r="V105" s="258"/>
      <c r="W105" s="258"/>
    </row>
    <row r="106" spans="1:23" ht="31.9" customHeight="1">
      <c r="A106" s="89" t="s">
        <v>176</v>
      </c>
      <c r="B106" s="231" t="s">
        <v>181</v>
      </c>
      <c r="C106" s="231"/>
      <c r="D106" s="231"/>
      <c r="E106" s="231"/>
      <c r="F106" s="231"/>
      <c r="G106" s="231"/>
      <c r="H106" s="231"/>
      <c r="I106" s="231"/>
      <c r="J106" s="231"/>
      <c r="K106" s="231"/>
      <c r="L106" s="231"/>
      <c r="M106" s="231"/>
      <c r="N106" s="231"/>
      <c r="O106" s="231"/>
      <c r="P106" s="231"/>
      <c r="Q106" s="231"/>
      <c r="R106" s="231"/>
      <c r="S106" s="231"/>
      <c r="T106" s="231"/>
      <c r="U106" s="231"/>
      <c r="V106" s="231"/>
      <c r="W106" s="231"/>
    </row>
  </sheetData>
  <sheetProtection algorithmName="SHA-512" hashValue="MfelhqPGX0NACztoywvqr0VFMgeHJvj2YN1mjiDvsMyohxGWAjydCotDydXH1SgUXNqGKv18s9B59AaTo9kCeA==" saltValue="7HM2EzZtGkr+cvjq7/U5dg==" spinCount="100000" sheet="1" selectLockedCells="1"/>
  <mergeCells count="646">
    <mergeCell ref="T103:W103"/>
    <mergeCell ref="B104:W104"/>
    <mergeCell ref="B105:W105"/>
    <mergeCell ref="B106:W106"/>
    <mergeCell ref="A103:C103"/>
    <mergeCell ref="D103:F103"/>
    <mergeCell ref="G103:I103"/>
    <mergeCell ref="J103:M103"/>
    <mergeCell ref="N103:P103"/>
    <mergeCell ref="Q103:S103"/>
    <mergeCell ref="T101:W101"/>
    <mergeCell ref="A102:C102"/>
    <mergeCell ref="D102:F102"/>
    <mergeCell ref="G102:I102"/>
    <mergeCell ref="J102:M102"/>
    <mergeCell ref="N102:P102"/>
    <mergeCell ref="Q102:S102"/>
    <mergeCell ref="T102:W102"/>
    <mergeCell ref="A101:C101"/>
    <mergeCell ref="D101:F101"/>
    <mergeCell ref="G101:I101"/>
    <mergeCell ref="J101:M101"/>
    <mergeCell ref="N101:P101"/>
    <mergeCell ref="Q101:S101"/>
    <mergeCell ref="T99:W99"/>
    <mergeCell ref="A100:C100"/>
    <mergeCell ref="D100:F100"/>
    <mergeCell ref="G100:I100"/>
    <mergeCell ref="J100:M100"/>
    <mergeCell ref="N100:P100"/>
    <mergeCell ref="Q100:S100"/>
    <mergeCell ref="T100:W100"/>
    <mergeCell ref="A99:C99"/>
    <mergeCell ref="D99:F99"/>
    <mergeCell ref="G99:I99"/>
    <mergeCell ref="J99:M99"/>
    <mergeCell ref="N99:P99"/>
    <mergeCell ref="Q99:S99"/>
    <mergeCell ref="T97:W97"/>
    <mergeCell ref="A98:C98"/>
    <mergeCell ref="D98:F98"/>
    <mergeCell ref="G98:I98"/>
    <mergeCell ref="J98:M98"/>
    <mergeCell ref="N98:P98"/>
    <mergeCell ref="Q98:S98"/>
    <mergeCell ref="T98:W98"/>
    <mergeCell ref="A97:C97"/>
    <mergeCell ref="D97:F97"/>
    <mergeCell ref="G97:I97"/>
    <mergeCell ref="J97:M97"/>
    <mergeCell ref="N97:P97"/>
    <mergeCell ref="Q97:S97"/>
    <mergeCell ref="T95:W95"/>
    <mergeCell ref="A96:C96"/>
    <mergeCell ref="D96:F96"/>
    <mergeCell ref="G96:I96"/>
    <mergeCell ref="J96:M96"/>
    <mergeCell ref="N96:P96"/>
    <mergeCell ref="Q96:S96"/>
    <mergeCell ref="T96:W96"/>
    <mergeCell ref="A95:C95"/>
    <mergeCell ref="D95:F95"/>
    <mergeCell ref="G95:I95"/>
    <mergeCell ref="J95:M95"/>
    <mergeCell ref="N95:P95"/>
    <mergeCell ref="Q95:S95"/>
    <mergeCell ref="T93:W93"/>
    <mergeCell ref="A94:C94"/>
    <mergeCell ref="D94:F94"/>
    <mergeCell ref="G94:I94"/>
    <mergeCell ref="J94:M94"/>
    <mergeCell ref="N94:P94"/>
    <mergeCell ref="Q94:S94"/>
    <mergeCell ref="T94:W94"/>
    <mergeCell ref="A93:C93"/>
    <mergeCell ref="D93:F93"/>
    <mergeCell ref="G93:I93"/>
    <mergeCell ref="J93:M93"/>
    <mergeCell ref="N93:P93"/>
    <mergeCell ref="Q93:S93"/>
    <mergeCell ref="T91:W91"/>
    <mergeCell ref="A92:C92"/>
    <mergeCell ref="D92:F92"/>
    <mergeCell ref="G92:I92"/>
    <mergeCell ref="J92:M92"/>
    <mergeCell ref="N92:P92"/>
    <mergeCell ref="Q92:S92"/>
    <mergeCell ref="T92:W92"/>
    <mergeCell ref="A91:C91"/>
    <mergeCell ref="D91:F91"/>
    <mergeCell ref="G91:I91"/>
    <mergeCell ref="J91:M91"/>
    <mergeCell ref="N91:P91"/>
    <mergeCell ref="Q91:S91"/>
    <mergeCell ref="T89:W89"/>
    <mergeCell ref="A90:C90"/>
    <mergeCell ref="D90:F90"/>
    <mergeCell ref="G90:I90"/>
    <mergeCell ref="J90:M90"/>
    <mergeCell ref="N90:P90"/>
    <mergeCell ref="Q90:S90"/>
    <mergeCell ref="T90:W90"/>
    <mergeCell ref="A89:C89"/>
    <mergeCell ref="D89:F89"/>
    <mergeCell ref="G89:I89"/>
    <mergeCell ref="J89:M89"/>
    <mergeCell ref="N89:P89"/>
    <mergeCell ref="Q89:S89"/>
    <mergeCell ref="T87:W87"/>
    <mergeCell ref="A88:C88"/>
    <mergeCell ref="D88:F88"/>
    <mergeCell ref="G88:I88"/>
    <mergeCell ref="J88:M88"/>
    <mergeCell ref="N88:P88"/>
    <mergeCell ref="Q88:S88"/>
    <mergeCell ref="T88:W88"/>
    <mergeCell ref="A87:C87"/>
    <mergeCell ref="D87:F87"/>
    <mergeCell ref="G87:I87"/>
    <mergeCell ref="J87:M87"/>
    <mergeCell ref="N87:P87"/>
    <mergeCell ref="Q87:S87"/>
    <mergeCell ref="T85:W85"/>
    <mergeCell ref="A86:C86"/>
    <mergeCell ref="D86:F86"/>
    <mergeCell ref="G86:I86"/>
    <mergeCell ref="J86:M86"/>
    <mergeCell ref="N86:P86"/>
    <mergeCell ref="Q86:S86"/>
    <mergeCell ref="T86:W86"/>
    <mergeCell ref="A85:C85"/>
    <mergeCell ref="D85:F85"/>
    <mergeCell ref="G85:I85"/>
    <mergeCell ref="J85:M85"/>
    <mergeCell ref="N85:P85"/>
    <mergeCell ref="Q85:S85"/>
    <mergeCell ref="T83:W83"/>
    <mergeCell ref="A84:C84"/>
    <mergeCell ref="D84:F84"/>
    <mergeCell ref="G84:I84"/>
    <mergeCell ref="J84:M84"/>
    <mergeCell ref="N84:P84"/>
    <mergeCell ref="Q84:S84"/>
    <mergeCell ref="T84:W84"/>
    <mergeCell ref="A83:C83"/>
    <mergeCell ref="D83:F83"/>
    <mergeCell ref="G83:I83"/>
    <mergeCell ref="J83:M83"/>
    <mergeCell ref="N83:P83"/>
    <mergeCell ref="Q83:S83"/>
    <mergeCell ref="T81:W81"/>
    <mergeCell ref="A82:C82"/>
    <mergeCell ref="D82:F82"/>
    <mergeCell ref="G82:I82"/>
    <mergeCell ref="J82:M82"/>
    <mergeCell ref="N82:P82"/>
    <mergeCell ref="Q82:S82"/>
    <mergeCell ref="T82:W82"/>
    <mergeCell ref="A81:C81"/>
    <mergeCell ref="D81:F81"/>
    <mergeCell ref="G81:I81"/>
    <mergeCell ref="J81:M81"/>
    <mergeCell ref="N81:P81"/>
    <mergeCell ref="Q81:S81"/>
    <mergeCell ref="T79:W79"/>
    <mergeCell ref="A80:C80"/>
    <mergeCell ref="D80:F80"/>
    <mergeCell ref="G80:I80"/>
    <mergeCell ref="J80:M80"/>
    <mergeCell ref="N80:P80"/>
    <mergeCell ref="Q80:S80"/>
    <mergeCell ref="T80:W80"/>
    <mergeCell ref="A79:C79"/>
    <mergeCell ref="D79:F79"/>
    <mergeCell ref="G79:I79"/>
    <mergeCell ref="J79:M79"/>
    <mergeCell ref="N79:P79"/>
    <mergeCell ref="Q79:S79"/>
    <mergeCell ref="T77:W77"/>
    <mergeCell ref="A78:C78"/>
    <mergeCell ref="D78:F78"/>
    <mergeCell ref="G78:I78"/>
    <mergeCell ref="J78:M78"/>
    <mergeCell ref="N78:P78"/>
    <mergeCell ref="Q78:S78"/>
    <mergeCell ref="T78:W78"/>
    <mergeCell ref="A77:C77"/>
    <mergeCell ref="D77:F77"/>
    <mergeCell ref="G77:I77"/>
    <mergeCell ref="J77:M77"/>
    <mergeCell ref="N77:P77"/>
    <mergeCell ref="Q77:S77"/>
    <mergeCell ref="T75:W75"/>
    <mergeCell ref="A76:C76"/>
    <mergeCell ref="D76:F76"/>
    <mergeCell ref="G76:I76"/>
    <mergeCell ref="J76:M76"/>
    <mergeCell ref="N76:P76"/>
    <mergeCell ref="Q76:S76"/>
    <mergeCell ref="T76:W76"/>
    <mergeCell ref="A75:C75"/>
    <mergeCell ref="D75:F75"/>
    <mergeCell ref="G75:I75"/>
    <mergeCell ref="J75:M75"/>
    <mergeCell ref="N75:P75"/>
    <mergeCell ref="Q75:S75"/>
    <mergeCell ref="T73:W73"/>
    <mergeCell ref="A74:C74"/>
    <mergeCell ref="D74:F74"/>
    <mergeCell ref="G74:I74"/>
    <mergeCell ref="J74:M74"/>
    <mergeCell ref="N74:P74"/>
    <mergeCell ref="Q74:S74"/>
    <mergeCell ref="T74:W74"/>
    <mergeCell ref="A73:C73"/>
    <mergeCell ref="D73:F73"/>
    <mergeCell ref="G73:I73"/>
    <mergeCell ref="J73:M73"/>
    <mergeCell ref="N73:P73"/>
    <mergeCell ref="Q73:S73"/>
    <mergeCell ref="T71:W71"/>
    <mergeCell ref="A72:C72"/>
    <mergeCell ref="D72:F72"/>
    <mergeCell ref="G72:I72"/>
    <mergeCell ref="J72:M72"/>
    <mergeCell ref="N72:P72"/>
    <mergeCell ref="Q72:S72"/>
    <mergeCell ref="T72:W72"/>
    <mergeCell ref="A71:C71"/>
    <mergeCell ref="D71:F71"/>
    <mergeCell ref="G71:I71"/>
    <mergeCell ref="J71:M71"/>
    <mergeCell ref="N71:P71"/>
    <mergeCell ref="Q71:S71"/>
    <mergeCell ref="T69:W69"/>
    <mergeCell ref="A70:C70"/>
    <mergeCell ref="D70:F70"/>
    <mergeCell ref="G70:I70"/>
    <mergeCell ref="J70:M70"/>
    <mergeCell ref="N70:P70"/>
    <mergeCell ref="Q70:S70"/>
    <mergeCell ref="T70:W70"/>
    <mergeCell ref="A69:C69"/>
    <mergeCell ref="D69:F69"/>
    <mergeCell ref="G69:I69"/>
    <mergeCell ref="J69:M69"/>
    <mergeCell ref="N69:P69"/>
    <mergeCell ref="Q69:S69"/>
    <mergeCell ref="T67:W67"/>
    <mergeCell ref="A68:C68"/>
    <mergeCell ref="D68:F68"/>
    <mergeCell ref="G68:I68"/>
    <mergeCell ref="J68:M68"/>
    <mergeCell ref="N68:P68"/>
    <mergeCell ref="Q68:S68"/>
    <mergeCell ref="T68:W68"/>
    <mergeCell ref="A67:C67"/>
    <mergeCell ref="D67:F67"/>
    <mergeCell ref="G67:I67"/>
    <mergeCell ref="J67:M67"/>
    <mergeCell ref="N67:P67"/>
    <mergeCell ref="Q67:S67"/>
    <mergeCell ref="T65:W65"/>
    <mergeCell ref="A66:C66"/>
    <mergeCell ref="D66:F66"/>
    <mergeCell ref="G66:I66"/>
    <mergeCell ref="J66:M66"/>
    <mergeCell ref="N66:P66"/>
    <mergeCell ref="Q66:S66"/>
    <mergeCell ref="T66:W66"/>
    <mergeCell ref="A65:C65"/>
    <mergeCell ref="D65:F65"/>
    <mergeCell ref="G65:I65"/>
    <mergeCell ref="J65:M65"/>
    <mergeCell ref="N65:P65"/>
    <mergeCell ref="Q65:S65"/>
    <mergeCell ref="T63:W63"/>
    <mergeCell ref="A64:C64"/>
    <mergeCell ref="D64:F64"/>
    <mergeCell ref="G64:I64"/>
    <mergeCell ref="J64:M64"/>
    <mergeCell ref="N64:P64"/>
    <mergeCell ref="Q64:S64"/>
    <mergeCell ref="T64:W64"/>
    <mergeCell ref="A63:C63"/>
    <mergeCell ref="D63:F63"/>
    <mergeCell ref="G63:I63"/>
    <mergeCell ref="J63:M63"/>
    <mergeCell ref="N63:P63"/>
    <mergeCell ref="Q63:S63"/>
    <mergeCell ref="T61:W61"/>
    <mergeCell ref="A62:C62"/>
    <mergeCell ref="D62:F62"/>
    <mergeCell ref="G62:I62"/>
    <mergeCell ref="J62:M62"/>
    <mergeCell ref="N62:P62"/>
    <mergeCell ref="Q62:S62"/>
    <mergeCell ref="T62:W62"/>
    <mergeCell ref="A61:C61"/>
    <mergeCell ref="D61:F61"/>
    <mergeCell ref="G61:I61"/>
    <mergeCell ref="J61:M61"/>
    <mergeCell ref="N61:P61"/>
    <mergeCell ref="Q61:S61"/>
    <mergeCell ref="T59:W59"/>
    <mergeCell ref="A60:C60"/>
    <mergeCell ref="D60:F60"/>
    <mergeCell ref="G60:I60"/>
    <mergeCell ref="J60:M60"/>
    <mergeCell ref="N60:P60"/>
    <mergeCell ref="Q60:S60"/>
    <mergeCell ref="T60:W60"/>
    <mergeCell ref="A59:C59"/>
    <mergeCell ref="D59:F59"/>
    <mergeCell ref="G59:I59"/>
    <mergeCell ref="J59:M59"/>
    <mergeCell ref="N59:P59"/>
    <mergeCell ref="Q59:S59"/>
    <mergeCell ref="T57:W57"/>
    <mergeCell ref="A58:C58"/>
    <mergeCell ref="D58:F58"/>
    <mergeCell ref="G58:I58"/>
    <mergeCell ref="J58:M58"/>
    <mergeCell ref="N58:P58"/>
    <mergeCell ref="Q58:S58"/>
    <mergeCell ref="T58:W58"/>
    <mergeCell ref="A57:C57"/>
    <mergeCell ref="D57:F57"/>
    <mergeCell ref="G57:I57"/>
    <mergeCell ref="J57:M57"/>
    <mergeCell ref="N57:P57"/>
    <mergeCell ref="Q57:S57"/>
    <mergeCell ref="T55:W55"/>
    <mergeCell ref="A56:C56"/>
    <mergeCell ref="D56:F56"/>
    <mergeCell ref="G56:I56"/>
    <mergeCell ref="J56:M56"/>
    <mergeCell ref="N56:P56"/>
    <mergeCell ref="Q56:S56"/>
    <mergeCell ref="T56:W56"/>
    <mergeCell ref="A55:C55"/>
    <mergeCell ref="D55:F55"/>
    <mergeCell ref="G55:I55"/>
    <mergeCell ref="J55:M55"/>
    <mergeCell ref="N55:P55"/>
    <mergeCell ref="Q55:S55"/>
    <mergeCell ref="T53:W53"/>
    <mergeCell ref="A54:C54"/>
    <mergeCell ref="D54:F54"/>
    <mergeCell ref="G54:I54"/>
    <mergeCell ref="J54:M54"/>
    <mergeCell ref="N54:P54"/>
    <mergeCell ref="Q54:S54"/>
    <mergeCell ref="T54:W54"/>
    <mergeCell ref="A53:C53"/>
    <mergeCell ref="D53:F53"/>
    <mergeCell ref="G53:I53"/>
    <mergeCell ref="J53:M53"/>
    <mergeCell ref="N53:P53"/>
    <mergeCell ref="Q53:S53"/>
    <mergeCell ref="T51:W51"/>
    <mergeCell ref="A52:C52"/>
    <mergeCell ref="D52:F52"/>
    <mergeCell ref="G52:I52"/>
    <mergeCell ref="J52:M52"/>
    <mergeCell ref="N52:P52"/>
    <mergeCell ref="Q52:S52"/>
    <mergeCell ref="T52:W52"/>
    <mergeCell ref="A51:C51"/>
    <mergeCell ref="D51:F51"/>
    <mergeCell ref="G51:I51"/>
    <mergeCell ref="J51:M51"/>
    <mergeCell ref="N51:P51"/>
    <mergeCell ref="Q51:S51"/>
    <mergeCell ref="T49:W49"/>
    <mergeCell ref="A50:C50"/>
    <mergeCell ref="D50:F50"/>
    <mergeCell ref="G50:I50"/>
    <mergeCell ref="J50:M50"/>
    <mergeCell ref="N50:P50"/>
    <mergeCell ref="Q50:S50"/>
    <mergeCell ref="T50:W50"/>
    <mergeCell ref="A49:C49"/>
    <mergeCell ref="D49:F49"/>
    <mergeCell ref="G49:I49"/>
    <mergeCell ref="J49:M49"/>
    <mergeCell ref="N49:P49"/>
    <mergeCell ref="Q49:S49"/>
    <mergeCell ref="T47:W47"/>
    <mergeCell ref="A48:C48"/>
    <mergeCell ref="D48:F48"/>
    <mergeCell ref="G48:I48"/>
    <mergeCell ref="J48:M48"/>
    <mergeCell ref="N48:P48"/>
    <mergeCell ref="Q48:S48"/>
    <mergeCell ref="T48:W48"/>
    <mergeCell ref="A47:C47"/>
    <mergeCell ref="D47:F47"/>
    <mergeCell ref="G47:I47"/>
    <mergeCell ref="J47:M47"/>
    <mergeCell ref="N47:P47"/>
    <mergeCell ref="Q47:S47"/>
    <mergeCell ref="T45:W45"/>
    <mergeCell ref="A46:C46"/>
    <mergeCell ref="D46:F46"/>
    <mergeCell ref="G46:I46"/>
    <mergeCell ref="J46:M46"/>
    <mergeCell ref="N46:P46"/>
    <mergeCell ref="Q46:S46"/>
    <mergeCell ref="T46:W46"/>
    <mergeCell ref="A45:C45"/>
    <mergeCell ref="D45:F45"/>
    <mergeCell ref="G45:I45"/>
    <mergeCell ref="J45:M45"/>
    <mergeCell ref="N45:P45"/>
    <mergeCell ref="Q45:S45"/>
    <mergeCell ref="T43:W43"/>
    <mergeCell ref="A44:C44"/>
    <mergeCell ref="D44:F44"/>
    <mergeCell ref="G44:I44"/>
    <mergeCell ref="J44:M44"/>
    <mergeCell ref="N44:P44"/>
    <mergeCell ref="Q44:S44"/>
    <mergeCell ref="T44:W44"/>
    <mergeCell ref="A43:C43"/>
    <mergeCell ref="D43:F43"/>
    <mergeCell ref="G43:I43"/>
    <mergeCell ref="J43:M43"/>
    <mergeCell ref="N43:P43"/>
    <mergeCell ref="Q43:S43"/>
    <mergeCell ref="T41:W41"/>
    <mergeCell ref="A42:C42"/>
    <mergeCell ref="D42:F42"/>
    <mergeCell ref="G42:I42"/>
    <mergeCell ref="J42:M42"/>
    <mergeCell ref="N42:P42"/>
    <mergeCell ref="Q42:S42"/>
    <mergeCell ref="T42:W42"/>
    <mergeCell ref="A41:C41"/>
    <mergeCell ref="D41:F41"/>
    <mergeCell ref="G41:I41"/>
    <mergeCell ref="J41:M41"/>
    <mergeCell ref="N41:P41"/>
    <mergeCell ref="Q41:S41"/>
    <mergeCell ref="T39:W39"/>
    <mergeCell ref="A40:C40"/>
    <mergeCell ref="D40:F40"/>
    <mergeCell ref="G40:I40"/>
    <mergeCell ref="J40:M40"/>
    <mergeCell ref="N40:P40"/>
    <mergeCell ref="Q40:S40"/>
    <mergeCell ref="T40:W40"/>
    <mergeCell ref="A39:C39"/>
    <mergeCell ref="D39:F39"/>
    <mergeCell ref="G39:I39"/>
    <mergeCell ref="J39:M39"/>
    <mergeCell ref="N39:P39"/>
    <mergeCell ref="Q39:S39"/>
    <mergeCell ref="T37:W37"/>
    <mergeCell ref="A38:C38"/>
    <mergeCell ref="D38:F38"/>
    <mergeCell ref="G38:I38"/>
    <mergeCell ref="J38:M38"/>
    <mergeCell ref="N38:P38"/>
    <mergeCell ref="Q38:S38"/>
    <mergeCell ref="T38:W38"/>
    <mergeCell ref="A37:C37"/>
    <mergeCell ref="D37:F37"/>
    <mergeCell ref="G37:I37"/>
    <mergeCell ref="J37:M37"/>
    <mergeCell ref="N37:P37"/>
    <mergeCell ref="Q37:S37"/>
    <mergeCell ref="T35:W35"/>
    <mergeCell ref="A36:C36"/>
    <mergeCell ref="D36:F36"/>
    <mergeCell ref="G36:I36"/>
    <mergeCell ref="J36:M36"/>
    <mergeCell ref="N36:P36"/>
    <mergeCell ref="Q36:S36"/>
    <mergeCell ref="T36:W36"/>
    <mergeCell ref="A35:C35"/>
    <mergeCell ref="D35:F35"/>
    <mergeCell ref="G35:I35"/>
    <mergeCell ref="J35:M35"/>
    <mergeCell ref="N35:P35"/>
    <mergeCell ref="Q35:S35"/>
    <mergeCell ref="T33:W33"/>
    <mergeCell ref="A34:C34"/>
    <mergeCell ref="D34:F34"/>
    <mergeCell ref="G34:I34"/>
    <mergeCell ref="J34:M34"/>
    <mergeCell ref="N34:P34"/>
    <mergeCell ref="Q34:S34"/>
    <mergeCell ref="T34:W34"/>
    <mergeCell ref="A33:C33"/>
    <mergeCell ref="D33:F33"/>
    <mergeCell ref="G33:I33"/>
    <mergeCell ref="J33:M33"/>
    <mergeCell ref="N33:P33"/>
    <mergeCell ref="Q33:S33"/>
    <mergeCell ref="T31:W31"/>
    <mergeCell ref="A32:C32"/>
    <mergeCell ref="D32:F32"/>
    <mergeCell ref="G32:I32"/>
    <mergeCell ref="J32:M32"/>
    <mergeCell ref="N32:P32"/>
    <mergeCell ref="Q32:S32"/>
    <mergeCell ref="T32:W32"/>
    <mergeCell ref="A31:C31"/>
    <mergeCell ref="D31:F31"/>
    <mergeCell ref="G31:I31"/>
    <mergeCell ref="J31:M31"/>
    <mergeCell ref="N31:P31"/>
    <mergeCell ref="Q31:S31"/>
    <mergeCell ref="T29:W29"/>
    <mergeCell ref="A30:C30"/>
    <mergeCell ref="D30:F30"/>
    <mergeCell ref="G30:I30"/>
    <mergeCell ref="J30:M30"/>
    <mergeCell ref="N30:P30"/>
    <mergeCell ref="Q30:S30"/>
    <mergeCell ref="T30:W30"/>
    <mergeCell ref="A29:C29"/>
    <mergeCell ref="D29:F29"/>
    <mergeCell ref="G29:I29"/>
    <mergeCell ref="J29:M29"/>
    <mergeCell ref="N29:P29"/>
    <mergeCell ref="Q29:S29"/>
    <mergeCell ref="T27:W27"/>
    <mergeCell ref="A28:C28"/>
    <mergeCell ref="D28:F28"/>
    <mergeCell ref="G28:I28"/>
    <mergeCell ref="J28:M28"/>
    <mergeCell ref="N28:P28"/>
    <mergeCell ref="Q28:S28"/>
    <mergeCell ref="T28:W28"/>
    <mergeCell ref="A27:C27"/>
    <mergeCell ref="D27:F27"/>
    <mergeCell ref="G27:I27"/>
    <mergeCell ref="J27:M27"/>
    <mergeCell ref="N27:P27"/>
    <mergeCell ref="Q27:S27"/>
    <mergeCell ref="T25:W25"/>
    <mergeCell ref="A26:C26"/>
    <mergeCell ref="D26:F26"/>
    <mergeCell ref="G26:I26"/>
    <mergeCell ref="J26:M26"/>
    <mergeCell ref="N26:P26"/>
    <mergeCell ref="Q26:S26"/>
    <mergeCell ref="T26:W26"/>
    <mergeCell ref="A25:C25"/>
    <mergeCell ref="D25:F25"/>
    <mergeCell ref="G25:I25"/>
    <mergeCell ref="J25:M25"/>
    <mergeCell ref="N25:P25"/>
    <mergeCell ref="Q25:S25"/>
    <mergeCell ref="T23:W23"/>
    <mergeCell ref="A24:C24"/>
    <mergeCell ref="D24:F24"/>
    <mergeCell ref="G24:I24"/>
    <mergeCell ref="J24:M24"/>
    <mergeCell ref="N24:P24"/>
    <mergeCell ref="Q24:S24"/>
    <mergeCell ref="T24:W24"/>
    <mergeCell ref="A23:C23"/>
    <mergeCell ref="D23:F23"/>
    <mergeCell ref="G23:I23"/>
    <mergeCell ref="J23:M23"/>
    <mergeCell ref="N23:P23"/>
    <mergeCell ref="Q23:S23"/>
    <mergeCell ref="A20:U20"/>
    <mergeCell ref="D21:M21"/>
    <mergeCell ref="N21:W21"/>
    <mergeCell ref="A22:C22"/>
    <mergeCell ref="D22:F22"/>
    <mergeCell ref="G22:I22"/>
    <mergeCell ref="J22:M22"/>
    <mergeCell ref="N22:P22"/>
    <mergeCell ref="Q22:S22"/>
    <mergeCell ref="T22:W22"/>
    <mergeCell ref="B14:W14"/>
    <mergeCell ref="B15:W15"/>
    <mergeCell ref="B16:W16"/>
    <mergeCell ref="B17:W17"/>
    <mergeCell ref="B18:W18"/>
    <mergeCell ref="B19:W19"/>
    <mergeCell ref="C12:J12"/>
    <mergeCell ref="L12:M12"/>
    <mergeCell ref="N12:O12"/>
    <mergeCell ref="P12:R12"/>
    <mergeCell ref="S12:U12"/>
    <mergeCell ref="V12:W12"/>
    <mergeCell ref="C11:J11"/>
    <mergeCell ref="L11:M11"/>
    <mergeCell ref="N11:O11"/>
    <mergeCell ref="P11:R11"/>
    <mergeCell ref="S11:U11"/>
    <mergeCell ref="V11:W11"/>
    <mergeCell ref="C10:J10"/>
    <mergeCell ref="L10:M10"/>
    <mergeCell ref="N10:O10"/>
    <mergeCell ref="P10:R10"/>
    <mergeCell ref="S10:U10"/>
    <mergeCell ref="V10:W10"/>
    <mergeCell ref="C9:J9"/>
    <mergeCell ref="L9:M9"/>
    <mergeCell ref="N9:O9"/>
    <mergeCell ref="P9:R9"/>
    <mergeCell ref="S9:U9"/>
    <mergeCell ref="V9:W9"/>
    <mergeCell ref="C8:K8"/>
    <mergeCell ref="L8:M8"/>
    <mergeCell ref="N8:O8"/>
    <mergeCell ref="P8:R8"/>
    <mergeCell ref="S8:U8"/>
    <mergeCell ref="V8:W8"/>
    <mergeCell ref="C7:J7"/>
    <mergeCell ref="L7:M7"/>
    <mergeCell ref="N7:O7"/>
    <mergeCell ref="P7:R7"/>
    <mergeCell ref="S7:U7"/>
    <mergeCell ref="V7:W7"/>
    <mergeCell ref="C6:J6"/>
    <mergeCell ref="L6:M6"/>
    <mergeCell ref="N6:O6"/>
    <mergeCell ref="P6:R6"/>
    <mergeCell ref="S6:U6"/>
    <mergeCell ref="V6:W6"/>
    <mergeCell ref="B3:J3"/>
    <mergeCell ref="L3:M3"/>
    <mergeCell ref="N3:O3"/>
    <mergeCell ref="P3:R3"/>
    <mergeCell ref="S3:U3"/>
    <mergeCell ref="V3:W3"/>
    <mergeCell ref="C5:J5"/>
    <mergeCell ref="L5:M5"/>
    <mergeCell ref="N5:O5"/>
    <mergeCell ref="P5:R5"/>
    <mergeCell ref="S5:U5"/>
    <mergeCell ref="V5:W5"/>
    <mergeCell ref="C4:J4"/>
    <mergeCell ref="L4:M4"/>
    <mergeCell ref="N4:O4"/>
    <mergeCell ref="P4:R4"/>
    <mergeCell ref="S4:U4"/>
    <mergeCell ref="V4:W4"/>
  </mergeCells>
  <phoneticPr fontId="2" type="noConversion"/>
  <hyperlinks>
    <hyperlink ref="Y3" location="資料輸入!A1" display="回資料輸入" xr:uid="{AD35DA80-F947-4F37-AE87-2201196CFD92}"/>
  </hyperlinks>
  <pageMargins left="0.39370078740157483" right="0.39370078740157483" top="0.47244094488188981" bottom="0.47244094488188981" header="0.31496062992125984" footer="0.31496062992125984"/>
  <pageSetup paperSize="9" scale="74" fitToHeight="0" orientation="portrait" r:id="rId1"/>
  <headerFooter>
    <oddFooter>&amp;R&amp;"微軟正黑體,標準"&amp;10第&amp;P頁/共&amp;N頁</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9681D-9804-CF40-A82F-06E45E23383C}">
  <sheetPr>
    <tabColor rgb="FFFF5757"/>
  </sheetPr>
  <dimension ref="A1:U53"/>
  <sheetViews>
    <sheetView topLeftCell="V1" zoomScaleNormal="100" workbookViewId="0">
      <selection activeCell="C5" sqref="C5:J5"/>
    </sheetView>
  </sheetViews>
  <sheetFormatPr defaultColWidth="10.7265625" defaultRowHeight="15.5"/>
  <cols>
    <col min="1" max="1" width="49.7265625" style="112" hidden="1" customWidth="1"/>
    <col min="2" max="2" width="19.36328125" style="112" hidden="1" customWidth="1"/>
    <col min="3" max="3" width="19.08984375" style="112" hidden="1" customWidth="1"/>
    <col min="4" max="4" width="49.7265625" style="112" hidden="1" customWidth="1"/>
    <col min="5" max="5" width="19.08984375" style="112" hidden="1" customWidth="1"/>
    <col min="6" max="6" width="18" style="112" hidden="1" customWidth="1"/>
    <col min="7" max="7" width="18.7265625" style="112" hidden="1" customWidth="1"/>
    <col min="8" max="8" width="18.453125" style="112" hidden="1" customWidth="1"/>
    <col min="9" max="9" width="11.08984375" style="112" hidden="1" customWidth="1"/>
    <col min="10" max="10" width="15.7265625" style="112" hidden="1" customWidth="1"/>
    <col min="11" max="11" width="21.08984375" style="112" hidden="1" customWidth="1"/>
    <col min="12" max="13" width="19.6328125" style="112" hidden="1" customWidth="1"/>
    <col min="14" max="14" width="16.6328125" style="112" hidden="1" customWidth="1"/>
    <col min="15" max="15" width="44.7265625" style="112" hidden="1" customWidth="1"/>
    <col min="16" max="16" width="12.7265625" style="112" hidden="1" customWidth="1"/>
    <col min="17" max="17" width="15.6328125" style="112" hidden="1" customWidth="1"/>
    <col min="18" max="18" width="43.08984375" style="115" hidden="1" customWidth="1"/>
    <col min="19" max="20" width="10.7265625" style="112" hidden="1" customWidth="1"/>
    <col min="21" max="21" width="11.26953125" style="112" hidden="1" customWidth="1"/>
    <col min="22" max="22" width="11.26953125" style="112" customWidth="1"/>
    <col min="23" max="23" width="10.7265625" style="112" customWidth="1"/>
    <col min="24" max="16384" width="10.7265625" style="112"/>
  </cols>
  <sheetData>
    <row r="1" spans="1:21">
      <c r="A1" s="111" t="s">
        <v>226</v>
      </c>
      <c r="B1" s="111" t="s">
        <v>227</v>
      </c>
      <c r="C1" s="111" t="s">
        <v>0</v>
      </c>
      <c r="D1" s="111" t="s">
        <v>1</v>
      </c>
      <c r="E1" s="111" t="s">
        <v>2</v>
      </c>
      <c r="F1" s="111" t="s">
        <v>3</v>
      </c>
      <c r="G1" s="111" t="s">
        <v>228</v>
      </c>
      <c r="H1" s="111" t="s">
        <v>229</v>
      </c>
      <c r="I1" s="265" t="s">
        <v>230</v>
      </c>
      <c r="J1" s="265"/>
      <c r="K1" s="265"/>
      <c r="L1" s="265"/>
      <c r="M1" s="111" t="s">
        <v>159</v>
      </c>
      <c r="N1" s="111" t="s">
        <v>6</v>
      </c>
      <c r="O1" s="111" t="s">
        <v>7</v>
      </c>
      <c r="P1" s="111" t="s">
        <v>8</v>
      </c>
      <c r="Q1" s="111" t="s">
        <v>160</v>
      </c>
      <c r="R1" s="111" t="s">
        <v>161</v>
      </c>
      <c r="S1" s="111" t="s">
        <v>162</v>
      </c>
      <c r="T1" s="111" t="s">
        <v>163</v>
      </c>
      <c r="U1" s="111" t="s">
        <v>317</v>
      </c>
    </row>
    <row r="2" spans="1:21">
      <c r="A2" s="113" t="s">
        <v>231</v>
      </c>
      <c r="B2" s="112" t="s">
        <v>4</v>
      </c>
      <c r="C2" s="112">
        <v>0</v>
      </c>
      <c r="D2" s="112">
        <v>75</v>
      </c>
      <c r="E2" s="112">
        <v>1</v>
      </c>
      <c r="F2" s="112">
        <v>3</v>
      </c>
      <c r="G2" s="112" t="s">
        <v>232</v>
      </c>
      <c r="H2" s="112" t="s">
        <v>151</v>
      </c>
      <c r="I2" s="112">
        <v>1</v>
      </c>
      <c r="M2" s="114" t="b">
        <v>0</v>
      </c>
      <c r="N2" s="112" t="b">
        <v>1</v>
      </c>
      <c r="O2" s="112" t="b">
        <v>1</v>
      </c>
      <c r="P2" s="112" t="b">
        <v>1</v>
      </c>
      <c r="Q2" s="112" t="b">
        <v>1</v>
      </c>
      <c r="R2" s="112" t="b">
        <v>1</v>
      </c>
      <c r="S2" s="112" t="b">
        <v>0</v>
      </c>
      <c r="T2" s="112" t="b">
        <v>1</v>
      </c>
    </row>
    <row r="3" spans="1:21">
      <c r="A3" s="113" t="s">
        <v>233</v>
      </c>
      <c r="B3" s="112" t="s">
        <v>153</v>
      </c>
      <c r="C3" s="112">
        <v>20</v>
      </c>
      <c r="D3" s="112">
        <f>IF(商品年期=20,45,55)</f>
        <v>45</v>
      </c>
      <c r="E3" s="112">
        <v>1</v>
      </c>
      <c r="F3" s="112">
        <v>10</v>
      </c>
      <c r="G3" s="112" t="s">
        <v>234</v>
      </c>
      <c r="H3" s="112" t="s">
        <v>154</v>
      </c>
      <c r="I3" s="112">
        <v>10</v>
      </c>
      <c r="J3" s="112">
        <v>20</v>
      </c>
      <c r="M3" s="114" t="b">
        <v>0</v>
      </c>
      <c r="N3" s="112" t="b">
        <v>1</v>
      </c>
      <c r="O3" s="112" t="b">
        <v>1</v>
      </c>
      <c r="P3" s="112" t="b">
        <v>1</v>
      </c>
      <c r="Q3" s="112" t="b">
        <v>1</v>
      </c>
      <c r="R3" s="112" t="b">
        <v>1</v>
      </c>
      <c r="S3" s="112" t="b">
        <v>0</v>
      </c>
      <c r="T3" s="112" t="b">
        <v>1</v>
      </c>
    </row>
    <row r="4" spans="1:21">
      <c r="A4" s="113" t="s">
        <v>235</v>
      </c>
      <c r="B4" s="112" t="s">
        <v>157</v>
      </c>
      <c r="C4" s="112">
        <v>20</v>
      </c>
      <c r="D4" s="112">
        <v>55</v>
      </c>
      <c r="E4" s="112">
        <v>1</v>
      </c>
      <c r="F4" s="112">
        <v>10</v>
      </c>
      <c r="G4" s="112" t="s">
        <v>234</v>
      </c>
      <c r="H4" s="112" t="s">
        <v>158</v>
      </c>
      <c r="I4" s="112">
        <v>10</v>
      </c>
      <c r="M4" s="114" t="b">
        <v>0</v>
      </c>
      <c r="N4" s="112" t="b">
        <v>1</v>
      </c>
      <c r="O4" s="112" t="b">
        <v>1</v>
      </c>
      <c r="P4" s="112" t="b">
        <v>1</v>
      </c>
      <c r="Q4" s="112" t="b">
        <v>1</v>
      </c>
      <c r="R4" s="112" t="b">
        <v>1</v>
      </c>
      <c r="S4" s="112" t="b">
        <v>0</v>
      </c>
      <c r="T4" s="112" t="b">
        <v>1</v>
      </c>
    </row>
    <row r="5" spans="1:21">
      <c r="A5" s="113" t="s">
        <v>269</v>
      </c>
      <c r="B5" s="112" t="s">
        <v>273</v>
      </c>
      <c r="C5" s="112">
        <v>20</v>
      </c>
      <c r="D5" s="112">
        <f>IF(商品年期=20,60,64)</f>
        <v>60</v>
      </c>
      <c r="E5" s="112">
        <v>20</v>
      </c>
      <c r="F5" s="112">
        <f>IF(資料輸入!D17="保誠人壽人身意外傷害保險附約(111)   ※66-70歲",30,50)</f>
        <v>50</v>
      </c>
      <c r="G5" s="112" t="s">
        <v>270</v>
      </c>
      <c r="H5" s="112" t="s">
        <v>272</v>
      </c>
      <c r="I5" s="112">
        <v>10</v>
      </c>
      <c r="J5" s="112">
        <v>15</v>
      </c>
      <c r="K5" s="112">
        <v>20</v>
      </c>
      <c r="M5" s="114" t="b">
        <v>0</v>
      </c>
      <c r="N5" s="112" t="b">
        <v>1</v>
      </c>
      <c r="O5" s="112" t="b">
        <v>1</v>
      </c>
      <c r="P5" s="112" t="b">
        <v>1</v>
      </c>
      <c r="Q5" s="112" t="b">
        <v>1</v>
      </c>
      <c r="R5" s="112" t="b">
        <v>1</v>
      </c>
      <c r="S5" s="112" t="b">
        <v>0</v>
      </c>
      <c r="T5" s="112" t="b">
        <v>1</v>
      </c>
    </row>
    <row r="6" spans="1:21">
      <c r="A6" s="113" t="s">
        <v>302</v>
      </c>
      <c r="B6" s="112" t="s">
        <v>303</v>
      </c>
      <c r="C6" s="112">
        <v>1</v>
      </c>
      <c r="D6" s="112">
        <f>IF(商品年期=20,60,65)</f>
        <v>60</v>
      </c>
      <c r="E6" s="112">
        <v>20</v>
      </c>
      <c r="F6" s="112">
        <f>IF(資料輸入!D17="保誠人壽人身意外傷害保險附約(111)   ※66-70歲",30,50)</f>
        <v>50</v>
      </c>
      <c r="G6" s="112" t="s">
        <v>270</v>
      </c>
      <c r="H6" s="112" t="s">
        <v>304</v>
      </c>
      <c r="I6" s="112">
        <v>10</v>
      </c>
      <c r="J6" s="112">
        <v>15</v>
      </c>
      <c r="K6" s="112">
        <v>20</v>
      </c>
      <c r="M6" s="114" t="b">
        <v>0</v>
      </c>
      <c r="N6" s="112" t="b">
        <v>1</v>
      </c>
      <c r="O6" s="112" t="b">
        <v>1</v>
      </c>
      <c r="P6" s="112" t="b">
        <v>1</v>
      </c>
      <c r="Q6" s="112" t="b">
        <v>1</v>
      </c>
      <c r="R6" s="112" t="b">
        <v>1</v>
      </c>
      <c r="S6" s="112" t="b">
        <v>0</v>
      </c>
      <c r="T6" s="112" t="b">
        <v>1</v>
      </c>
    </row>
    <row r="7" spans="1:21">
      <c r="A7" s="113" t="s">
        <v>236</v>
      </c>
      <c r="B7" s="112" t="s">
        <v>148</v>
      </c>
      <c r="C7" s="112">
        <v>0</v>
      </c>
      <c r="D7" s="112">
        <v>60</v>
      </c>
      <c r="E7" s="112">
        <v>5</v>
      </c>
      <c r="F7" s="112">
        <f>IF(資料輸入!D17="保誠人壽人身意外傷害保險附約(111)   ※0-15歲",20,30)</f>
        <v>30</v>
      </c>
      <c r="G7" s="112" t="s">
        <v>237</v>
      </c>
      <c r="H7" s="112" t="s">
        <v>152</v>
      </c>
      <c r="I7" s="112">
        <v>15</v>
      </c>
      <c r="J7" s="112">
        <v>20</v>
      </c>
      <c r="M7" s="114" t="b">
        <v>0</v>
      </c>
      <c r="N7" s="112" t="b">
        <v>1</v>
      </c>
      <c r="O7" s="112" t="b">
        <v>1</v>
      </c>
      <c r="P7" s="112" t="b">
        <v>1</v>
      </c>
      <c r="Q7" s="112" t="b">
        <v>1</v>
      </c>
      <c r="R7" s="112" t="b">
        <v>1</v>
      </c>
      <c r="S7" s="112" t="b">
        <v>1</v>
      </c>
      <c r="T7" s="112" t="b">
        <v>1</v>
      </c>
      <c r="U7" s="112" t="b">
        <v>1</v>
      </c>
    </row>
    <row r="8" spans="1:21">
      <c r="A8" s="174" t="s">
        <v>316</v>
      </c>
      <c r="B8" s="112" t="s">
        <v>305</v>
      </c>
      <c r="C8" s="112">
        <v>20</v>
      </c>
      <c r="D8" s="112">
        <v>65</v>
      </c>
      <c r="E8" s="112">
        <v>10</v>
      </c>
      <c r="F8" s="112">
        <v>60</v>
      </c>
      <c r="G8" s="112" t="s">
        <v>306</v>
      </c>
      <c r="H8" s="112" t="s">
        <v>309</v>
      </c>
      <c r="I8" s="112">
        <v>10</v>
      </c>
      <c r="J8" s="112">
        <v>20</v>
      </c>
      <c r="M8" s="114" t="b">
        <v>0</v>
      </c>
      <c r="N8" s="112" t="b">
        <v>1</v>
      </c>
      <c r="O8" s="112" t="b">
        <v>1</v>
      </c>
      <c r="P8" s="112" t="b">
        <v>1</v>
      </c>
      <c r="Q8" s="112" t="b">
        <v>1</v>
      </c>
      <c r="R8" s="112" t="b">
        <v>1</v>
      </c>
      <c r="S8" s="112" t="b">
        <v>0</v>
      </c>
      <c r="T8" s="112" t="b">
        <v>1</v>
      </c>
      <c r="U8" s="112" t="b">
        <v>1</v>
      </c>
    </row>
    <row r="9" spans="1:21">
      <c r="A9" s="174"/>
      <c r="R9" s="112"/>
    </row>
    <row r="10" spans="1:21">
      <c r="A10" s="174"/>
      <c r="R10" s="112"/>
    </row>
    <row r="11" spans="1:21">
      <c r="A11" s="113"/>
      <c r="R11" s="112"/>
    </row>
    <row r="12" spans="1:21">
      <c r="A12" s="113"/>
    </row>
    <row r="13" spans="1:21">
      <c r="A13" s="113"/>
    </row>
    <row r="14" spans="1:21">
      <c r="A14" s="113"/>
    </row>
    <row r="15" spans="1:21">
      <c r="A15" s="113"/>
    </row>
    <row r="16" spans="1:21">
      <c r="A16" s="113"/>
    </row>
    <row r="17" spans="1:20">
      <c r="A17" s="113"/>
    </row>
    <row r="18" spans="1:20">
      <c r="A18" s="113"/>
    </row>
    <row r="19" spans="1:20">
      <c r="A19" s="113"/>
    </row>
    <row r="20" spans="1:20">
      <c r="A20" s="116"/>
      <c r="B20" s="117"/>
      <c r="C20" s="117"/>
      <c r="D20" s="117"/>
      <c r="E20" s="117"/>
      <c r="F20" s="117"/>
      <c r="G20" s="117"/>
      <c r="H20" s="117"/>
      <c r="I20" s="117"/>
      <c r="J20" s="117"/>
      <c r="K20" s="117"/>
      <c r="L20" s="117"/>
      <c r="M20" s="117"/>
      <c r="N20" s="117"/>
      <c r="O20" s="117"/>
      <c r="P20" s="117"/>
      <c r="Q20" s="117"/>
      <c r="R20" s="117"/>
      <c r="S20" s="117"/>
    </row>
    <row r="21" spans="1:20">
      <c r="A21" s="118" t="s">
        <v>238</v>
      </c>
      <c r="B21" s="113"/>
      <c r="C21" s="113"/>
      <c r="D21" s="113"/>
      <c r="E21" s="113"/>
      <c r="F21" s="113"/>
      <c r="G21" s="113"/>
      <c r="H21" s="113"/>
    </row>
    <row r="22" spans="1:20">
      <c r="A22" s="111" t="s">
        <v>226</v>
      </c>
      <c r="B22" s="111" t="s">
        <v>227</v>
      </c>
      <c r="C22" s="111" t="s">
        <v>230</v>
      </c>
      <c r="D22" s="111" t="s">
        <v>0</v>
      </c>
      <c r="E22" s="111" t="s">
        <v>1</v>
      </c>
      <c r="F22" s="111" t="s">
        <v>2</v>
      </c>
      <c r="G22" s="111" t="s">
        <v>3</v>
      </c>
      <c r="H22" s="111" t="s">
        <v>228</v>
      </c>
      <c r="I22" s="111" t="s">
        <v>239</v>
      </c>
      <c r="J22" s="111" t="s">
        <v>240</v>
      </c>
      <c r="K22" s="111" t="s">
        <v>241</v>
      </c>
      <c r="L22" s="111" t="s">
        <v>159</v>
      </c>
      <c r="M22" s="111" t="s">
        <v>6</v>
      </c>
      <c r="N22" s="111" t="s">
        <v>7</v>
      </c>
      <c r="O22" s="111" t="s">
        <v>8</v>
      </c>
      <c r="P22" s="111" t="s">
        <v>160</v>
      </c>
      <c r="Q22" s="111" t="s">
        <v>161</v>
      </c>
      <c r="R22" s="111" t="s">
        <v>162</v>
      </c>
      <c r="S22" s="111" t="s">
        <v>163</v>
      </c>
      <c r="T22" s="111" t="s">
        <v>317</v>
      </c>
    </row>
    <row r="23" spans="1:20">
      <c r="A23" s="112" t="str">
        <f>IF(主約檢核,VLOOKUP(主約商品,主約商品集,1,FALSE),"")</f>
        <v>保誠人壽倍感安心終身醫療健康保險</v>
      </c>
      <c r="B23" s="112" t="str">
        <f>IF(主約檢核,VLOOKUP(主約商品,主約商品集,2,FALSE),"")</f>
        <v>AHIRLB1</v>
      </c>
      <c r="C23" s="119">
        <f>資料輸入_主約年期</f>
        <v>20</v>
      </c>
      <c r="D23" s="112">
        <f>IF(主約檢核,VLOOKUP(主約商品,主約商品集,3,FALSE),0)</f>
        <v>0</v>
      </c>
      <c r="E23" s="112">
        <f>IF(主約檢核,VLOOKUP(主約商品,主約商品集,4,FALSE),0)</f>
        <v>60</v>
      </c>
      <c r="F23" s="112">
        <f>IF(主約檢核,VLOOKUP(主約商品,主約商品集,5,FALSE),0)</f>
        <v>5</v>
      </c>
      <c r="G23" s="112">
        <f>IF(主約檢核,VLOOKUP(主約商品,主約商品集,6,FALSE),0)</f>
        <v>30</v>
      </c>
      <c r="H23" s="112" t="str">
        <f>IF(主約檢核,VLOOKUP(主約商品,主約商品集,7,FALSE),"")</f>
        <v>計劃</v>
      </c>
      <c r="I23" s="112">
        <f>IF(投保單位="萬元",10000,IF(投保單位="仟元",1000,1))</f>
        <v>1</v>
      </c>
      <c r="J23" s="112" t="str">
        <f>IF(主約檢核,VLOOKUP(主約商品,主約商品集,8,FALSE),"")</f>
        <v>AHIRLB1_NP</v>
      </c>
      <c r="K23" s="112" t="str">
        <f>IF(主約檢核,VLOOKUP(主約商品,主約商品集,2,FALSE)&amp;"_清單","")</f>
        <v>AHIRLB1_清單</v>
      </c>
      <c r="L23" s="112" t="b">
        <f>IF(主約檢核,VLOOKUP(主約商品,主約商品集,13,FALSE),FALSE)</f>
        <v>0</v>
      </c>
      <c r="M23" s="112" t="b">
        <f>IF(主約檢核,VLOOKUP(主約商品,主約商品集,14,FALSE),FALSE)</f>
        <v>1</v>
      </c>
      <c r="N23" s="112" t="b">
        <f>IF(主約檢核,VLOOKUP(主約商品,主約商品集,15,FALSE),FALSE)</f>
        <v>1</v>
      </c>
      <c r="O23" s="112" t="b">
        <f>IF(主約檢核,VLOOKUP(主約商品,主約商品集,16,FALSE),FALSE)</f>
        <v>1</v>
      </c>
      <c r="P23" s="112" t="b">
        <f>IF(主約檢核,VLOOKUP(主約商品,主約商品集,17,FALSE),FALSE)</f>
        <v>1</v>
      </c>
      <c r="Q23" s="112" t="b">
        <f>IF(主約檢核,VLOOKUP(主約商品,主約商品集,18,FALSE),FALSE)</f>
        <v>1</v>
      </c>
      <c r="R23" s="112" t="b">
        <f>IF(主約檢核,VLOOKUP(主約商品,主約商品集,19,FALSE),FALSE)</f>
        <v>1</v>
      </c>
      <c r="S23" s="112" t="b">
        <f>IF(主約檢核,VLOOKUP(主約商品,主約商品集,20,FALSE),FALSE)</f>
        <v>1</v>
      </c>
      <c r="T23" s="112" t="b">
        <f>IF(主約檢核,VLOOKUP(主約商品,主約商品集,21,FALSE),FALSE)</f>
        <v>1</v>
      </c>
    </row>
    <row r="24" spans="1:20">
      <c r="A24" s="112" t="str">
        <f>IF(商品代號="AHIRLB1","倍感安心終身醫療健康保險",IF(商品代號="AHINTB2","照護有術定期健康保險",""))</f>
        <v>倍感安心終身醫療健康保險</v>
      </c>
    </row>
    <row r="27" spans="1:20">
      <c r="A27" s="111" t="s">
        <v>242</v>
      </c>
      <c r="B27" s="111" t="s">
        <v>227</v>
      </c>
      <c r="C27" s="111" t="s">
        <v>230</v>
      </c>
      <c r="D27" s="111" t="s">
        <v>0</v>
      </c>
      <c r="E27" s="111" t="s">
        <v>1</v>
      </c>
      <c r="F27" s="111" t="s">
        <v>2</v>
      </c>
      <c r="G27" s="111" t="s">
        <v>3</v>
      </c>
      <c r="H27" s="120" t="s">
        <v>243</v>
      </c>
    </row>
    <row r="28" spans="1:20">
      <c r="A28" s="115" t="s">
        <v>244</v>
      </c>
      <c r="B28" s="112" t="s">
        <v>5</v>
      </c>
      <c r="C28" s="115">
        <f>BNLTRN1繳費年期</f>
        <v>0</v>
      </c>
      <c r="D28" s="115">
        <v>15</v>
      </c>
      <c r="E28" s="115">
        <f>IF(BNLTRN1商品年期=20,60,65)</f>
        <v>65</v>
      </c>
      <c r="F28" s="121">
        <v>10</v>
      </c>
      <c r="G28" s="121">
        <f>MIN(1000, IF(ISNUMBER(主約保額), 主約保額*5, 最高保額*5))</f>
        <v>50</v>
      </c>
    </row>
    <row r="29" spans="1:20">
      <c r="A29" s="115" t="s">
        <v>245</v>
      </c>
      <c r="B29" s="112" t="s">
        <v>6</v>
      </c>
      <c r="C29" s="115">
        <v>1</v>
      </c>
      <c r="D29" s="115">
        <v>0</v>
      </c>
      <c r="E29" s="115">
        <v>65</v>
      </c>
      <c r="F29" s="121">
        <v>500</v>
      </c>
      <c r="G29" s="121">
        <v>3000</v>
      </c>
    </row>
    <row r="30" spans="1:20" ht="16" thickBot="1">
      <c r="A30" s="115" t="s">
        <v>246</v>
      </c>
      <c r="B30" s="112" t="s">
        <v>7</v>
      </c>
      <c r="C30" s="115">
        <v>1</v>
      </c>
      <c r="D30" s="115">
        <v>0</v>
      </c>
      <c r="E30" s="115">
        <v>65</v>
      </c>
      <c r="F30" s="121">
        <v>1</v>
      </c>
      <c r="G30" s="121">
        <v>30</v>
      </c>
    </row>
    <row r="31" spans="1:20" ht="16" thickTop="1">
      <c r="A31" s="122" t="s">
        <v>247</v>
      </c>
      <c r="B31" s="123" t="s">
        <v>167</v>
      </c>
      <c r="C31" s="124">
        <v>1</v>
      </c>
      <c r="D31" s="124">
        <f>VLOOKUP(資料輸入!$D$17,$A$32:$G$34,4,FALSE)</f>
        <v>16</v>
      </c>
      <c r="E31" s="124">
        <f>VLOOKUP(資料輸入!$D$17,$A$32:$G$34,5,FALSE)</f>
        <v>65</v>
      </c>
      <c r="F31" s="125">
        <f>VLOOKUP(資料輸入!$D$17,$A$32:$G$34,6,FALSE)</f>
        <v>10</v>
      </c>
      <c r="G31" s="125">
        <f>VLOOKUP(資料輸入!$D$17,$A$32:$G$34,7,FALSE)</f>
        <v>2000</v>
      </c>
      <c r="H31" s="126">
        <f>VLOOKUP(資料輸入!$D$17,$A$32:$H$34,8,FALSE)</f>
        <v>2</v>
      </c>
    </row>
    <row r="32" spans="1:20">
      <c r="A32" s="171" t="s">
        <v>311</v>
      </c>
      <c r="B32" s="112" t="str">
        <f>DPAA商品代號</f>
        <v>DPAA</v>
      </c>
      <c r="C32" s="115">
        <v>1</v>
      </c>
      <c r="D32" s="115">
        <v>0</v>
      </c>
      <c r="E32" s="115">
        <v>15</v>
      </c>
      <c r="F32" s="121">
        <v>10</v>
      </c>
      <c r="G32" s="121">
        <v>60</v>
      </c>
      <c r="H32" s="127">
        <v>1</v>
      </c>
    </row>
    <row r="33" spans="1:13">
      <c r="A33" s="171" t="s">
        <v>312</v>
      </c>
      <c r="B33" s="112" t="str">
        <f>DPAA商品代號</f>
        <v>DPAA</v>
      </c>
      <c r="C33" s="115">
        <v>1</v>
      </c>
      <c r="D33" s="115">
        <v>16</v>
      </c>
      <c r="E33" s="115">
        <v>65</v>
      </c>
      <c r="F33" s="121">
        <v>10</v>
      </c>
      <c r="G33" s="121">
        <v>2000</v>
      </c>
      <c r="H33" s="127">
        <v>2</v>
      </c>
    </row>
    <row r="34" spans="1:13" ht="16" thickBot="1">
      <c r="A34" s="172" t="s">
        <v>313</v>
      </c>
      <c r="B34" s="128" t="str">
        <f>DPAA商品代號</f>
        <v>DPAA</v>
      </c>
      <c r="C34" s="129">
        <v>1</v>
      </c>
      <c r="D34" s="129">
        <v>66</v>
      </c>
      <c r="E34" s="129">
        <v>70</v>
      </c>
      <c r="F34" s="130">
        <v>10</v>
      </c>
      <c r="G34" s="130">
        <v>500</v>
      </c>
      <c r="H34" s="131">
        <v>3</v>
      </c>
    </row>
    <row r="35" spans="1:13" ht="16" thickTop="1">
      <c r="A35" s="115" t="s">
        <v>248</v>
      </c>
      <c r="B35" s="112" t="s">
        <v>10</v>
      </c>
      <c r="C35" s="115">
        <v>1</v>
      </c>
      <c r="D35" s="115">
        <v>0</v>
      </c>
      <c r="E35" s="115">
        <v>70</v>
      </c>
      <c r="F35" s="121">
        <v>5</v>
      </c>
      <c r="G35" s="121">
        <v>30</v>
      </c>
    </row>
    <row r="36" spans="1:13">
      <c r="A36" s="115" t="s">
        <v>249</v>
      </c>
      <c r="B36" s="112" t="s">
        <v>9</v>
      </c>
      <c r="C36" s="115">
        <v>1</v>
      </c>
      <c r="D36" s="115">
        <v>0</v>
      </c>
      <c r="E36" s="115">
        <v>70</v>
      </c>
      <c r="F36" s="121">
        <v>3</v>
      </c>
      <c r="G36" s="121">
        <f>MIN(30, IF(ISNUMBER(DPAA保額),IF((DPAA保額*10%)&lt;3,3,DPAA保額*10%),DPAA最高保額*10%))</f>
        <v>30</v>
      </c>
    </row>
    <row r="37" spans="1:13">
      <c r="A37" s="132" t="s">
        <v>250</v>
      </c>
      <c r="B37" s="112" t="s">
        <v>11</v>
      </c>
      <c r="C37" s="115">
        <v>10</v>
      </c>
      <c r="D37" s="115">
        <v>1</v>
      </c>
      <c r="E37" s="115">
        <v>15</v>
      </c>
      <c r="F37" s="121">
        <v>1</v>
      </c>
      <c r="G37" s="121">
        <v>3</v>
      </c>
    </row>
    <row r="38" spans="1:13">
      <c r="A38" s="115" t="s">
        <v>251</v>
      </c>
      <c r="B38" s="112" t="s">
        <v>12</v>
      </c>
      <c r="C38" s="115">
        <v>1</v>
      </c>
      <c r="D38" s="115">
        <v>0</v>
      </c>
      <c r="E38" s="115">
        <v>70</v>
      </c>
      <c r="F38" s="121">
        <v>15</v>
      </c>
      <c r="G38" s="121">
        <v>30</v>
      </c>
    </row>
    <row r="39" spans="1:13">
      <c r="A39" s="115" t="s">
        <v>318</v>
      </c>
      <c r="B39" s="112" t="s">
        <v>315</v>
      </c>
      <c r="C39" s="115">
        <v>1</v>
      </c>
      <c r="D39" s="115">
        <v>0</v>
      </c>
      <c r="E39" s="115">
        <v>64</v>
      </c>
      <c r="F39" s="121">
        <v>15</v>
      </c>
      <c r="G39" s="121">
        <v>15</v>
      </c>
    </row>
    <row r="40" spans="1:13">
      <c r="A40" s="175"/>
      <c r="C40" s="115"/>
      <c r="D40" s="115"/>
      <c r="E40" s="115"/>
      <c r="F40" s="121"/>
      <c r="G40" s="121"/>
    </row>
    <row r="41" spans="1:13">
      <c r="L41" s="112">
        <f>IF(MIN(J44:J53)&lt;16,MAX(I44:I53),IF(AND(投保意外險判斷,職業等級&gt;=2),MAX(I44:I53,16),MAX(I44:I53)))</f>
        <v>0</v>
      </c>
    </row>
    <row r="42" spans="1:13">
      <c r="A42" s="113" t="s">
        <v>252</v>
      </c>
      <c r="L42" s="112">
        <f>IF(MIN(J44:J53)&lt;16,MAX(I44:I53),IF(職業等級&gt;=2,MAX(I44:I53,16),MAX(I44:I53)))</f>
        <v>0</v>
      </c>
    </row>
    <row r="43" spans="1:13">
      <c r="A43" s="111" t="s">
        <v>253</v>
      </c>
      <c r="B43" s="111" t="s">
        <v>254</v>
      </c>
      <c r="C43" s="133" t="s">
        <v>255</v>
      </c>
      <c r="D43" s="133" t="s">
        <v>256</v>
      </c>
      <c r="E43" s="133" t="s">
        <v>257</v>
      </c>
      <c r="F43" s="133" t="s">
        <v>258</v>
      </c>
      <c r="G43" s="133" t="s">
        <v>259</v>
      </c>
      <c r="H43" s="133" t="s">
        <v>260</v>
      </c>
      <c r="I43" s="133" t="s">
        <v>261</v>
      </c>
      <c r="J43" s="133" t="s">
        <v>262</v>
      </c>
      <c r="K43" s="134" t="s">
        <v>263</v>
      </c>
      <c r="L43" s="176" t="s">
        <v>322</v>
      </c>
      <c r="M43" s="134" t="s">
        <v>264</v>
      </c>
    </row>
    <row r="44" spans="1:13">
      <c r="A44" s="113" t="str">
        <f>商品名稱</f>
        <v>保誠人壽倍感安心終身醫療健康保險</v>
      </c>
      <c r="B44" s="112">
        <v>1</v>
      </c>
      <c r="C44" s="135">
        <v>1</v>
      </c>
      <c r="D44" s="136" t="str">
        <f>商品名稱</f>
        <v>保誠人壽倍感安心終身醫療健康保險</v>
      </c>
      <c r="E44" s="136" t="str">
        <f>商品代號</f>
        <v>AHIRLB1</v>
      </c>
      <c r="F44" s="135">
        <f>商品年期</f>
        <v>20</v>
      </c>
      <c r="G44" s="135" t="str">
        <f>TEXT(主約保額,"#,##0")&amp;投保單位</f>
        <v>10計劃</v>
      </c>
      <c r="H44" s="135">
        <f>主約保額</f>
        <v>10</v>
      </c>
      <c r="I44" s="135">
        <f>IF($C44="","",最小保險年齡)</f>
        <v>0</v>
      </c>
      <c r="J44" s="135">
        <f>IF($C44="","",最大保險年齡)</f>
        <v>60</v>
      </c>
      <c r="K44" s="112">
        <f>MAX(C44:C53)</f>
        <v>1</v>
      </c>
      <c r="L44" s="112">
        <f>IF(MIN(J44:J53)&lt;16,MAX(I44:I53),IF(AND(投保意外險判斷,職業等級&gt;=2),MAX(I44:I53,16),MAX(I44:I53)))</f>
        <v>0</v>
      </c>
      <c r="M44" s="112">
        <f>MIN(J44:J53)</f>
        <v>60</v>
      </c>
    </row>
    <row r="45" spans="1:13">
      <c r="A45" s="113" t="str">
        <f>BNLTRN1商品名稱</f>
        <v>保誠人壽喜樂定期壽險附約</v>
      </c>
      <c r="B45" s="112">
        <f>IF(AND(BNLTRN1保額&lt;&gt;0,BNLTRN1保額&lt;&gt;""),2,0)</f>
        <v>0</v>
      </c>
      <c r="C45" s="135" t="str">
        <f>IF(BNLTRN1檢核,IF(B45=0,"",MAX(C44)+1),"")</f>
        <v/>
      </c>
      <c r="D45" s="136" t="str">
        <f>BNLTRN1商品名稱</f>
        <v>保誠人壽喜樂定期壽險附約</v>
      </c>
      <c r="E45" s="136" t="str">
        <f>BNLTRN1商品代號</f>
        <v>BNLTRN1</v>
      </c>
      <c r="F45" s="135">
        <f>BNLTRN1商品年期</f>
        <v>0</v>
      </c>
      <c r="G45" s="135" t="str">
        <f>BNLTRN1保額&amp;"萬元"</f>
        <v>萬元</v>
      </c>
      <c r="H45" s="135">
        <f>BNLTRN1保額</f>
        <v>0</v>
      </c>
      <c r="I45" s="135" t="str">
        <f>IF($C45="","",BNLTRN1最小保險年齡)</f>
        <v/>
      </c>
      <c r="J45" s="135" t="str">
        <f>IF($C45="","",BNLTRN1最大保險年齡)</f>
        <v/>
      </c>
    </row>
    <row r="46" spans="1:13">
      <c r="A46" s="113" t="str">
        <f>AMRNTR1商品名稱</f>
        <v>保誠人壽新住院醫療限額給付健康保險附約(108)</v>
      </c>
      <c r="B46" s="112">
        <f>IF(AND(AMRNTR1計劃&lt;&gt;0,AMRNTR1計劃&lt;&gt;""),3,0)</f>
        <v>0</v>
      </c>
      <c r="C46" s="135" t="str">
        <f>IF(AMRNTR1檢核,IF(B46=0,"",MAX(C44:C45)+1),"")</f>
        <v/>
      </c>
      <c r="D46" s="136" t="str">
        <f>AMRNTR1商品名稱</f>
        <v>保誠人壽新住院醫療限額給付健康保險附約(108)</v>
      </c>
      <c r="E46" s="136" t="str">
        <f>AMRNTR1商品代號</f>
        <v>AMRNTR1</v>
      </c>
      <c r="F46" s="135">
        <f>AMRNTR1商品年期</f>
        <v>1</v>
      </c>
      <c r="G46" s="135" t="str">
        <f>"計劃"&amp;AMRNTR1計劃</f>
        <v>計劃</v>
      </c>
      <c r="H46" s="135">
        <f>AMRNTR1計劃</f>
        <v>0</v>
      </c>
      <c r="I46" s="135" t="str">
        <f>IF($C46="","",AMRNTR1最小保險年齡)</f>
        <v/>
      </c>
      <c r="J46" s="135" t="str">
        <f>IF($C46="","",AMRNTR1最大保險年齡)</f>
        <v/>
      </c>
    </row>
    <row r="47" spans="1:13">
      <c r="A47" s="113" t="str">
        <f>ADDNTR1商品名稱</f>
        <v>保誠人壽一年定期重大疾病健康保險附約(乙型)</v>
      </c>
      <c r="B47" s="112">
        <f>IF(AND(ADDNTR1保額&lt;&gt;0,ADDNTR1保額&lt;&gt;""),4,0)</f>
        <v>0</v>
      </c>
      <c r="C47" s="135" t="str">
        <f>IF(ADDNTR1檢核,IF(B47=0,"",MAX(C44:C46)+1),"")</f>
        <v/>
      </c>
      <c r="D47" s="136" t="str">
        <f>ADDNTR1商品名稱</f>
        <v>保誠人壽一年定期重大疾病健康保險附約(乙型)</v>
      </c>
      <c r="E47" s="136" t="str">
        <f>ADDNTR1商品代號</f>
        <v>ADDNTR1</v>
      </c>
      <c r="F47" s="135">
        <f>ADDNTR1商品年期</f>
        <v>1</v>
      </c>
      <c r="G47" s="135" t="str">
        <f>ADDNTR1保額&amp;"萬元"</f>
        <v>萬元</v>
      </c>
      <c r="H47" s="135">
        <f>ADDNTR1保額</f>
        <v>0</v>
      </c>
      <c r="I47" s="135" t="str">
        <f>IF($C47="","",ADDNTR1最小保險年齡)</f>
        <v/>
      </c>
      <c r="J47" s="135" t="str">
        <f>IF($C47="","",ADDNTR1最大保險年齡)</f>
        <v/>
      </c>
    </row>
    <row r="48" spans="1:13">
      <c r="A48" s="113" t="str">
        <f>DPAA商品名稱</f>
        <v>保誠人壽人身意外傷害保險附約(111)</v>
      </c>
      <c r="B48" s="112">
        <f>IF(AND(DPAA保額&lt;&gt;0,DPAA保額&lt;&gt;""),5,0)</f>
        <v>0</v>
      </c>
      <c r="C48" s="135" t="str">
        <f>IF(DPAA檢核,IF(B48=0,"",MAX(C44:C47)+1),"")</f>
        <v/>
      </c>
      <c r="D48" s="136" t="str">
        <f>DPAA商品名稱</f>
        <v>保誠人壽人身意外傷害保險附約(111)</v>
      </c>
      <c r="E48" s="136" t="str">
        <f>DPAA商品代號</f>
        <v>DPAA</v>
      </c>
      <c r="F48" s="135">
        <f>DPAA商品年期</f>
        <v>1</v>
      </c>
      <c r="G48" s="135" t="str">
        <f>DPAA保額&amp;"萬元"</f>
        <v>萬元</v>
      </c>
      <c r="H48" s="135">
        <f>DPAA保額</f>
        <v>0</v>
      </c>
      <c r="I48" s="135" t="str">
        <f>IF($C48="","",DPAA最小保險年齡)</f>
        <v/>
      </c>
      <c r="J48" s="135" t="str">
        <f>IF($C48="","",DPAA最大保險年齡)</f>
        <v/>
      </c>
    </row>
    <row r="49" spans="1:10">
      <c r="A49" s="113" t="str">
        <f>ML商品名稱</f>
        <v>保誠人壽人身意外傷害住院醫療定額給付附加條款</v>
      </c>
      <c r="B49" s="112">
        <f>IF(AND(ML計劃&lt;&gt;0,ML計劃&lt;&gt;""),6,0)</f>
        <v>0</v>
      </c>
      <c r="C49" s="135" t="str">
        <f>IF(ML檢核,IF(B49=0,"",MAX(C44:C48)+1),"")</f>
        <v/>
      </c>
      <c r="D49" s="136" t="str">
        <f>ML商品名稱</f>
        <v>保誠人壽人身意外傷害住院醫療定額給付附加條款</v>
      </c>
      <c r="E49" s="136" t="str">
        <f>ML商品代號</f>
        <v>ML</v>
      </c>
      <c r="F49" s="135">
        <f>ML商品年期</f>
        <v>1</v>
      </c>
      <c r="G49" s="135" t="str">
        <f>"計劃"&amp;ML計劃</f>
        <v>計劃</v>
      </c>
      <c r="H49" s="135">
        <f>ML計劃</f>
        <v>0</v>
      </c>
      <c r="I49" s="135" t="str">
        <f>IF($C49="","",ML最小保險年齡)</f>
        <v/>
      </c>
      <c r="J49" s="135" t="str">
        <f>IF($C49="","",ML最大保險年齡)</f>
        <v/>
      </c>
    </row>
    <row r="50" spans="1:10">
      <c r="A50" s="113" t="str">
        <f>MT商品名稱</f>
        <v>保誠人壽傷害醫療保險給付附加條款</v>
      </c>
      <c r="B50" s="112">
        <f>IF(AND(MT保額&lt;&gt;0,MT保額&lt;&gt;""),7,0)</f>
        <v>0</v>
      </c>
      <c r="C50" s="135" t="str">
        <f>IF(MT檢核,IF(B50=0,"",MAX(C44:C49)+1),"")</f>
        <v/>
      </c>
      <c r="D50" s="136" t="str">
        <f>MT商品名稱</f>
        <v>保誠人壽傷害醫療保險給付附加條款</v>
      </c>
      <c r="E50" s="136" t="str">
        <f>MT商品代號</f>
        <v>MT</v>
      </c>
      <c r="F50" s="135">
        <f>MT商品年期</f>
        <v>1</v>
      </c>
      <c r="G50" s="135" t="str">
        <f>MT保額&amp;"萬元"</f>
        <v>萬元</v>
      </c>
      <c r="H50" s="135">
        <f>MT保額</f>
        <v>0</v>
      </c>
      <c r="I50" s="135" t="str">
        <f>IF($C50="","",MT最小保險年齡)</f>
        <v/>
      </c>
      <c r="J50" s="135" t="str">
        <f>IF($C50="","",MT最大保險年齡)</f>
        <v/>
      </c>
    </row>
    <row r="51" spans="1:10">
      <c r="A51" s="113" t="str">
        <f>ACCNTR1商品名稱</f>
        <v>保誠人壽愛寶貝定期癌症健康保險附約</v>
      </c>
      <c r="B51" s="112">
        <f>IF(AND(ACCNTR1投保單位&lt;&gt;0,ACCNTR1投保單位&lt;&gt;""),8,0)</f>
        <v>0</v>
      </c>
      <c r="C51" s="135" t="str">
        <f>IF(ACCNTR1檢核,IF(B51=0,"",MAX(C44:C50)+1),"")</f>
        <v/>
      </c>
      <c r="D51" s="136" t="str">
        <f>ACCNTR1商品名稱</f>
        <v>保誠人壽愛寶貝定期癌症健康保險附約</v>
      </c>
      <c r="E51" s="136" t="str">
        <f>ACCNTR1商品代號</f>
        <v>ACCNTR1</v>
      </c>
      <c r="F51" s="135">
        <f>ACCNTR1商品年期</f>
        <v>10</v>
      </c>
      <c r="G51" s="135" t="str">
        <f>ACCNTR1投保單位&amp;"單位"</f>
        <v>單位</v>
      </c>
      <c r="H51" s="135">
        <f>ACCNTR1投保單位</f>
        <v>0</v>
      </c>
      <c r="I51" s="135" t="str">
        <f>IF($C51="","",ACCNTR1最小保險年齡)</f>
        <v/>
      </c>
      <c r="J51" s="135" t="str">
        <f>IF($C51="","",ACCNTR1最大保險年齡)</f>
        <v/>
      </c>
    </row>
    <row r="52" spans="1:10">
      <c r="A52" s="113" t="str">
        <f>ACCNTR2商品名稱</f>
        <v>保誠人壽標靶守護防癌健康保險附約</v>
      </c>
      <c r="B52" s="112">
        <f>IF(AND(ACCNTR2保額&lt;&gt;0,ACCNTR2保額&lt;&gt;""),9,0)</f>
        <v>0</v>
      </c>
      <c r="C52" s="135" t="str">
        <f>IF(ACCNTR2檢核,IF(B52=0,"",MAX(C44:C51)+1),"")</f>
        <v/>
      </c>
      <c r="D52" s="136" t="str">
        <f>ACCNTR2商品名稱</f>
        <v>保誠人壽標靶守護防癌健康保險附約</v>
      </c>
      <c r="E52" s="136" t="str">
        <f>ACCNTR2商品代號</f>
        <v>ACCNTR2</v>
      </c>
      <c r="F52" s="135">
        <f>ACCNTR2商品年期</f>
        <v>1</v>
      </c>
      <c r="G52" s="135" t="str">
        <f>ACCNTR2保額&amp;"萬元"</f>
        <v>萬元</v>
      </c>
      <c r="H52" s="135">
        <f>ACCNTR2保額</f>
        <v>0</v>
      </c>
      <c r="I52" s="135" t="str">
        <f>IF($C52="","",ACCNTR2最小保險年齡)</f>
        <v/>
      </c>
      <c r="J52" s="135" t="str">
        <f>IF($C52="","",ACCNTR2最大保險年齡)</f>
        <v/>
      </c>
    </row>
    <row r="53" spans="1:10">
      <c r="A53" s="113" t="str">
        <f>ACCNTR3商品名稱</f>
        <v>保誠人壽愛要守護防癌健康保險附約</v>
      </c>
      <c r="B53" s="112" cm="1">
        <f t="array" ref="B53">IF(AND(ACCNTR3保額&lt;&gt;0,ACCNTR3保額&lt;&gt;""),10,0)</f>
        <v>0</v>
      </c>
      <c r="C53" s="135" t="str" cm="1">
        <f t="array" ref="C53">IF(ACCNTR3檢核,IF(B53=0,"",MAX(C44:C52)+1),"")</f>
        <v/>
      </c>
      <c r="D53" s="136" t="str">
        <f>ACCNTR3商品名稱</f>
        <v>保誠人壽愛要守護防癌健康保險附約</v>
      </c>
      <c r="E53" s="136" t="str">
        <f>ACCNTR3商品代號</f>
        <v>ACCNTR3</v>
      </c>
      <c r="F53" s="135">
        <f>ACCNTR3商品年期</f>
        <v>1</v>
      </c>
      <c r="G53" s="135" t="str" cm="1">
        <f t="array" ref="G53">ACCNTR3保額&amp;"萬元"</f>
        <v>萬元</v>
      </c>
      <c r="H53" s="135" cm="1">
        <f t="array" ref="H53">ACCNTR3保額</f>
        <v>0</v>
      </c>
      <c r="I53" s="135" t="str">
        <f>IF($C53="","",ACCNTR3最小保險年齡)</f>
        <v/>
      </c>
      <c r="J53" s="135" t="str">
        <f>IF($C53="","",ACCNTR3最大保險年齡)</f>
        <v/>
      </c>
    </row>
  </sheetData>
  <sheetProtection algorithmName="SHA-512" hashValue="RbDwKeDvL1V5vZl9TfxXbyIOSHS3eMMQqVCmW6h9+Dbp91DgnI7jHPH7ihVsUuCnSk/CBSb/PBoGj/c/tXyycQ==" saltValue="hCbbvfQA4/2nTkaL740pJQ==" spinCount="100000" sheet="1" selectLockedCells="1"/>
  <mergeCells count="1">
    <mergeCell ref="I1:L1"/>
  </mergeCells>
  <phoneticPr fontId="3" type="noConversion"/>
  <dataValidations disablePrompts="1" count="1">
    <dataValidation type="list" allowBlank="1" showInputMessage="1" showErrorMessage="1" sqref="M2:T10 U7:V8" xr:uid="{C8AEB6B5-7106-E14B-86B7-5D0804683535}">
      <formula1>"TRUE,FALSE"</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D36E1-C49E-5A40-BEC3-BFEC0BB5AC51}">
  <sheetPr>
    <tabColor rgb="FFFF5757"/>
  </sheetPr>
  <dimension ref="A1:N50"/>
  <sheetViews>
    <sheetView topLeftCell="R1" zoomScaleNormal="100" workbookViewId="0">
      <selection activeCell="C5" sqref="C5:J5"/>
    </sheetView>
  </sheetViews>
  <sheetFormatPr defaultColWidth="10.7265625" defaultRowHeight="12.5"/>
  <cols>
    <col min="1" max="1" width="2.453125" style="100" hidden="1" customWidth="1"/>
    <col min="2" max="2" width="15" style="100" hidden="1" customWidth="1"/>
    <col min="3" max="3" width="8.6328125" style="100" hidden="1" customWidth="1"/>
    <col min="4" max="4" width="28.6328125" style="100" hidden="1" customWidth="1"/>
    <col min="5" max="6" width="15" style="100" hidden="1" customWidth="1"/>
    <col min="7" max="7" width="8.6328125" style="100" hidden="1" customWidth="1"/>
    <col min="8" max="8" width="28.6328125" style="100" hidden="1" customWidth="1"/>
    <col min="9" max="9" width="10.7265625" style="100" hidden="1" customWidth="1"/>
    <col min="10" max="10" width="15" style="100" hidden="1" customWidth="1"/>
    <col min="11" max="11" width="8.6328125" style="100" hidden="1" customWidth="1"/>
    <col min="12" max="12" width="28.6328125" style="100" hidden="1" customWidth="1"/>
    <col min="13" max="14" width="10.7265625" style="100" hidden="1" customWidth="1"/>
    <col min="15" max="17" width="0" style="100" hidden="1" customWidth="1"/>
    <col min="18" max="16384" width="10.7265625" style="100"/>
  </cols>
  <sheetData>
    <row r="1" spans="1:12" ht="13" thickBot="1"/>
    <row r="2" spans="1:12" s="73" customFormat="1" ht="19" thickBot="1">
      <c r="A2" s="101"/>
      <c r="B2" s="273" t="s">
        <v>25</v>
      </c>
      <c r="C2" s="274"/>
      <c r="D2" s="274"/>
      <c r="E2" s="274"/>
      <c r="F2" s="274"/>
      <c r="G2" s="274"/>
      <c r="H2" s="274"/>
      <c r="I2" s="274"/>
      <c r="J2" s="274"/>
      <c r="K2" s="274"/>
      <c r="L2" s="275"/>
    </row>
    <row r="3" spans="1:12" s="73" customFormat="1" ht="15.5">
      <c r="A3" s="101"/>
      <c r="B3" s="276" t="b">
        <f ca="1">AND(C7=1,C15=1,C17=1,G7=1,G10=1)</f>
        <v>1</v>
      </c>
      <c r="C3" s="276"/>
      <c r="D3" s="276"/>
      <c r="E3" s="276"/>
      <c r="F3" s="276"/>
      <c r="G3" s="276"/>
      <c r="H3" s="276"/>
      <c r="I3" s="276"/>
      <c r="J3" s="276"/>
      <c r="K3" s="276"/>
      <c r="L3" s="276"/>
    </row>
    <row r="4" spans="1:12" s="73" customFormat="1" ht="16" thickBot="1">
      <c r="A4" s="101"/>
      <c r="B4" s="102"/>
      <c r="C4" s="102"/>
      <c r="D4" s="102"/>
      <c r="E4" s="102"/>
      <c r="F4" s="102"/>
      <c r="G4" s="102"/>
      <c r="H4" s="102"/>
      <c r="I4" s="102"/>
      <c r="J4" s="102"/>
      <c r="K4" s="102"/>
      <c r="L4" s="102"/>
    </row>
    <row r="5" spans="1:12" ht="19" thickBot="1">
      <c r="B5" s="266" t="s">
        <v>194</v>
      </c>
      <c r="C5" s="267"/>
      <c r="D5" s="267"/>
      <c r="E5" s="267"/>
      <c r="F5" s="267"/>
      <c r="G5" s="267"/>
      <c r="H5" s="267"/>
      <c r="I5" s="267"/>
      <c r="J5" s="267"/>
      <c r="K5" s="267"/>
      <c r="L5" s="268"/>
    </row>
    <row r="6" spans="1:12" ht="13.5" thickBot="1">
      <c r="B6" s="272" t="s">
        <v>195</v>
      </c>
      <c r="C6" s="270"/>
      <c r="D6" s="271"/>
      <c r="F6" s="269" t="s">
        <v>196</v>
      </c>
      <c r="G6" s="270"/>
      <c r="H6" s="271"/>
    </row>
    <row r="7" spans="1:12" ht="13">
      <c r="B7" s="110" t="s">
        <v>197</v>
      </c>
      <c r="C7" s="100">
        <f>MAX(C8:C10)</f>
        <v>1</v>
      </c>
      <c r="F7" s="29" t="s">
        <v>147</v>
      </c>
      <c r="G7" s="100">
        <f>MAX(G8)</f>
        <v>1</v>
      </c>
    </row>
    <row r="8" spans="1:12" ht="13">
      <c r="B8" s="103" t="s">
        <v>198</v>
      </c>
      <c r="C8" s="100">
        <f>IF(主約檢核,IF(ISERROR(主約保額),1,IF(AND(主約保額&gt;=最低保額,主約保額&lt;=最高保額),1,2)),1)</f>
        <v>1</v>
      </c>
      <c r="D8" s="103" t="str">
        <f>"◆保額低於或超出投保限制，保額限制："&amp;TEXT(最低保額,"#,##0")&amp;"~"&amp;TEXT(最高保額,"#,##0")&amp;投保單位&amp;"！
"</f>
        <v xml:space="preserve">◆保額低於或超出投保限制，保額限制：5~30計劃！
</v>
      </c>
      <c r="F8" s="103" t="s">
        <v>199</v>
      </c>
      <c r="G8" s="100">
        <f>IF(職業等級="",2,1)</f>
        <v>1</v>
      </c>
      <c r="H8" s="103" t="str">
        <f>"◆請選擇職業等級！
"</f>
        <v xml:space="preserve">◆請選擇職業等級！
</v>
      </c>
    </row>
    <row r="9" spans="1:12" ht="13">
      <c r="B9" s="103" t="s">
        <v>200</v>
      </c>
      <c r="C9" s="100">
        <f>IF(主約檢核,IF(ISERROR(主約保額),1,IF(MOD(主約保額*保額單位數值,保額單位數值)=0,1,3)),0)</f>
        <v>1</v>
      </c>
      <c r="D9" s="103" t="str">
        <f>"◆保額請以（整數）"&amp;投保單位&amp;"為單位！
"</f>
        <v xml:space="preserve">◆保額請以（整數）計劃為單位！
</v>
      </c>
      <c r="F9" s="100" t="b">
        <f>G10=1</f>
        <v>1</v>
      </c>
    </row>
    <row r="10" spans="1:12" ht="13">
      <c r="B10" s="103" t="s">
        <v>201</v>
      </c>
      <c r="C10" s="100">
        <f>IF(主約保額="",4,1)</f>
        <v>1</v>
      </c>
      <c r="D10" s="103" t="str">
        <f>"◆請輸入「保額」！
"</f>
        <v xml:space="preserve">◆請輸入「保額」！
</v>
      </c>
      <c r="F10" s="103" t="s">
        <v>202</v>
      </c>
      <c r="G10" s="100">
        <f>MAX(G13:G14)</f>
        <v>1</v>
      </c>
      <c r="H10" s="103"/>
    </row>
    <row r="11" spans="1:12" ht="16">
      <c r="B11" s="169" t="s">
        <v>310</v>
      </c>
      <c r="C11" s="170">
        <f>IF(
C8=2,1,
IF(主約商品&lt;&gt;"保誠人壽照護有術定期健康保險",1,
IF(AND(資料輸入_主約年期=10,主約保額&gt;=30),1,
IF(AND(資料輸入_主約年期=20,主約保額&gt;=20),1,2
))))</f>
        <v>1</v>
      </c>
      <c r="D11" s="169" t="str">
        <f>IF(資料輸入_主約年期=10,
"◆照護有術" &amp;資料輸入_主約年期&amp; "年期，20足歲~29歲最低保額為3萬！",
"◆照護有術" &amp;資料輸入_主約年期&amp; "年期，20足歲~29歲最低保額為2萬！")&amp;"
"</f>
        <v xml:space="preserve">◆照護有術20年期，20足歲~29歲最低保額為2萬！
</v>
      </c>
      <c r="F11" s="103"/>
      <c r="H11" s="103"/>
    </row>
    <row r="12" spans="1:12">
      <c r="B12" s="103"/>
      <c r="D12" s="103"/>
      <c r="F12" s="103"/>
      <c r="H12" s="103"/>
    </row>
    <row r="13" spans="1:12" ht="13">
      <c r="F13" s="103" t="s">
        <v>203</v>
      </c>
      <c r="G13" s="100">
        <f>IF(主約商品="",2,1)</f>
        <v>1</v>
      </c>
      <c r="H13" s="103" t="str">
        <f>"◆請選擇主約商品！
"</f>
        <v xml:space="preserve">◆請選擇主約商品！
</v>
      </c>
    </row>
    <row r="14" spans="1:12" ht="13.9" customHeight="1">
      <c r="B14" s="28" t="s">
        <v>265</v>
      </c>
      <c r="F14" s="103" t="s">
        <v>205</v>
      </c>
      <c r="G14" s="100">
        <f>IF(AND(OR(主約商品="保誠人壽薪享幸福定期健康保險",主約商品="保誠人壽鑫幸福定期保險"),職業等級&gt;=5),3,1)</f>
        <v>1</v>
      </c>
      <c r="H14" s="103" t="str">
        <f>"◆"&amp;主約商品&amp;"，職業等級限1~4級
"</f>
        <v xml:space="preserve">◆保誠人壽倍感安心終身醫療健康保險，職業等級限1~4級
</v>
      </c>
    </row>
    <row r="15" spans="1:12" ht="13">
      <c r="B15" s="103" t="s">
        <v>225</v>
      </c>
      <c r="C15" s="161">
        <f>IF(資料輸入_主約年期&lt;&gt;"",IF(OR(AND(OR(商品代號="ADMNTB1",商品代號="ADMRTB1",商品代號="ASGNLB1",商品代號="ASGNLB2",商品代號="AHINTB2"),保費分齡表對應&lt;&gt;2,商品代號="ASGNLB2",保費分齡表對應&lt;&gt;1)),2,1),1)</f>
        <v>1</v>
      </c>
      <c r="D15" s="169" t="str">
        <f>"◆"&amp;簡式商品名稱&amp;"投保年齡為"&amp;最小保險年齡&amp;"-"&amp;最大保險年齡&amp;"歲！
"</f>
        <v xml:space="preserve">◆倍感安心終身醫療健康保險投保年齡為0-60歲！
</v>
      </c>
      <c r="F15" s="103" t="s">
        <v>207</v>
      </c>
      <c r="G15" s="100" t="b">
        <f>IF(職業等級&gt;=2,TRUE,FALSE)</f>
        <v>0</v>
      </c>
    </row>
    <row r="16" spans="1:12" ht="13">
      <c r="F16" s="103" t="s">
        <v>209</v>
      </c>
      <c r="G16" s="100" t="b">
        <f>IF(OR(DPAA保額&lt;&gt;"",ML計劃&lt;&gt;"",MT保額&lt;&gt;""),TRUE,FALSE)</f>
        <v>0</v>
      </c>
      <c r="H16" s="103"/>
    </row>
    <row r="17" spans="2:12" ht="13">
      <c r="B17" s="110" t="s">
        <v>204</v>
      </c>
      <c r="C17" s="100">
        <f ca="1">MAX(C18:C19)</f>
        <v>1</v>
      </c>
    </row>
    <row r="18" spans="2:12" ht="13">
      <c r="B18" s="103" t="s">
        <v>206</v>
      </c>
      <c r="C18" s="100">
        <f ca="1">IF(主約檢核,IF(COUNTIF(INDIRECT(主約清單參數),資料輸入!K9)&gt;0,1,2),1)</f>
        <v>1</v>
      </c>
      <c r="D18" s="103" t="str">
        <f>"◆請確認主約商品繳費年期！
"</f>
        <v xml:space="preserve">◆請確認主約商品繳費年期！
</v>
      </c>
    </row>
    <row r="19" spans="2:12" ht="13">
      <c r="B19" s="103" t="s">
        <v>208</v>
      </c>
      <c r="C19" s="100">
        <f>IF(資料輸入!K9="",3,1)</f>
        <v>1</v>
      </c>
      <c r="D19" s="103" t="str">
        <f>"◆請選擇年期！
"</f>
        <v xml:space="preserve">◆請選擇年期！
</v>
      </c>
    </row>
    <row r="20" spans="2:12" ht="13" thickBot="1"/>
    <row r="21" spans="2:12" ht="19" thickBot="1">
      <c r="B21" s="104" t="s">
        <v>210</v>
      </c>
      <c r="C21" s="105"/>
      <c r="D21" s="105"/>
      <c r="E21" s="105"/>
      <c r="F21" s="105"/>
      <c r="G21" s="105"/>
      <c r="H21" s="105"/>
      <c r="I21" s="105"/>
      <c r="J21" s="105"/>
      <c r="K21" s="105"/>
      <c r="L21" s="106"/>
    </row>
    <row r="22" spans="2:12" ht="16" thickBot="1">
      <c r="B22" s="269" t="s">
        <v>211</v>
      </c>
      <c r="C22" s="277"/>
      <c r="D22" s="278"/>
      <c r="E22" s="73"/>
      <c r="F22" s="269" t="s">
        <v>212</v>
      </c>
      <c r="G22" s="277"/>
      <c r="H22" s="278"/>
      <c r="I22" s="73"/>
      <c r="J22" s="269" t="s">
        <v>213</v>
      </c>
      <c r="K22" s="277"/>
      <c r="L22" s="278"/>
    </row>
    <row r="23" spans="2:12">
      <c r="B23" s="100" t="b">
        <f>AND(C23=1,C28=1)</f>
        <v>1</v>
      </c>
      <c r="C23" s="100">
        <f>MAX(C24:C27)</f>
        <v>1</v>
      </c>
      <c r="F23" s="100" t="b">
        <f>G23=1</f>
        <v>1</v>
      </c>
      <c r="G23" s="100">
        <f>MAX(G24:G26)</f>
        <v>1</v>
      </c>
      <c r="J23" s="100" t="b">
        <f>K23=1</f>
        <v>1</v>
      </c>
      <c r="K23" s="100">
        <f>MAX(K24:K28)</f>
        <v>1</v>
      </c>
    </row>
    <row r="24" spans="2:12" ht="13">
      <c r="B24" s="103" t="s">
        <v>214</v>
      </c>
      <c r="C24" s="100">
        <f>IF(BNLTRN1保額="",1,IF(ISNUMBER(BNLTRN1保額),1,2))</f>
        <v>1</v>
      </c>
      <c r="D24" s="107" t="str">
        <f>"◆喜樂定期壽險附約保額請輸入有效數值！
"</f>
        <v xml:space="preserve">◆喜樂定期壽險附約保額請輸入有效數值！
</v>
      </c>
      <c r="F24" s="103" t="s">
        <v>225</v>
      </c>
      <c r="G24" s="100">
        <f>IF(AMRNTR1計劃&lt;&gt;"",IF(保費分齡表對應&gt;2,2,1),1)</f>
        <v>1</v>
      </c>
      <c r="H24" s="103" t="str">
        <f>"◆新住院醫療限額給付保險附約投保年齡為"&amp;AMRNTR1最小保險年齡&amp;"-"&amp;AMRNTR1最大保險年齡&amp;"歲！
"</f>
        <v xml:space="preserve">◆新住院醫療限額給付保險附約投保年齡為0-65歲！
</v>
      </c>
      <c r="J24" s="103" t="s">
        <v>225</v>
      </c>
      <c r="K24" s="100">
        <f>IF(ADDNTR1保額&lt;&gt;"",IF(保費分齡表對應&gt;2,2,1),1)</f>
        <v>1</v>
      </c>
      <c r="L24" s="103" t="str">
        <f>"◆一年期重大疾病健康保險附約投保年齡為"&amp;ADDNTR1最小保險年齡&amp;"-"&amp;ADDNTR1最大保險年齡&amp;"歲！
"</f>
        <v xml:space="preserve">◆一年期重大疾病健康保險附約投保年齡為0-65歲！
</v>
      </c>
    </row>
    <row r="25" spans="2:12" ht="13">
      <c r="B25" s="103" t="s">
        <v>216</v>
      </c>
      <c r="C25" s="100">
        <f>IF(BNLTRN1保額="",1,IF(ISNUMBER(BNLTRN1保額),IF(MOD(BNLTRN1保額*10000,10000)=0,1,3),2))</f>
        <v>1</v>
      </c>
      <c r="D25" s="107" t="str">
        <f>"◆喜樂定期壽險附約保額以萬元為單位，請您重新輸入！
"</f>
        <v xml:space="preserve">◆喜樂定期壽險附約保額以萬元為單位，請您重新輸入！
</v>
      </c>
      <c r="F25" s="103" t="s">
        <v>215</v>
      </c>
      <c r="G25" s="100" cm="1">
        <f t="array" ref="G25">IF(ISERROR(被保人保險年齡),1,IF(AND(被保人足歲年齡&lt;=15,OR(AMRNTR1計劃=5, AMRNTR1計劃=6)),1,1))</f>
        <v>1</v>
      </c>
      <c r="H25" s="103" t="str">
        <f>"◆新住院醫療限額給付保險附約15足歲以下，最高投保2,000(計劃4)
"</f>
        <v xml:space="preserve">◆新住院醫療限額給付保險附約15足歲以下，最高投保2,000(計劃4)
</v>
      </c>
      <c r="J25" s="103" t="s">
        <v>214</v>
      </c>
      <c r="K25" s="100">
        <f>IF(ADDNTR1保額="",1,IF(ISNUMBER(ADDNTR1保額),1,2))</f>
        <v>1</v>
      </c>
      <c r="L25" s="103" t="str">
        <f>"◆一年期重大疾病健康保險附約保額請輸入有效數值！
"</f>
        <v xml:space="preserve">◆一年期重大疾病健康保險附約保額請輸入有效數值！
</v>
      </c>
    </row>
    <row r="26" spans="2:12" ht="13">
      <c r="B26" s="103" t="s">
        <v>198</v>
      </c>
      <c r="C26" s="100">
        <f>IF(BNLTRN1保額="",1,IF(ISNUMBER(BNLTRN1保額),IF(OR(BNLTRN1保額&lt;BNLTRN1最低保額,BNLTRN1保額&gt;BNLTRN1最高保額),4,1),2))</f>
        <v>1</v>
      </c>
      <c r="D26" s="107" t="str">
        <f>"◆喜樂定期壽險附約保額請輸入範圍內的金額，以壽險主約保額之5倍為限！
"</f>
        <v xml:space="preserve">◆喜樂定期壽險附約保額請輸入範圍內的金額，以壽險主約保額之5倍為限！
</v>
      </c>
      <c r="F26" s="103" t="s">
        <v>217</v>
      </c>
      <c r="G26" s="100">
        <f>IF(AMRNTR1_是否投保,1,IF(AMRNTR1計劃&lt;&gt;"",3,1))</f>
        <v>1</v>
      </c>
      <c r="H26" s="107" t="str">
        <f>"◆此主約商品不可投保新住院醫療限額給付保險附約！
"</f>
        <v xml:space="preserve">◆此主約商品不可投保新住院醫療限額給付保險附約！
</v>
      </c>
      <c r="J26" s="103" t="s">
        <v>216</v>
      </c>
      <c r="K26" s="100">
        <f>IF(ADDNTR1保額="",1,IF(ISNUMBER(ADDNTR1保額),IF(MOD(ADDNTR1保額*10000,10000)=0,1,3),2))</f>
        <v>1</v>
      </c>
      <c r="L26" s="103" t="str">
        <f>"◆一年期重大疾病健康保險附約保額以萬元為單位，請您重新輸入！
"</f>
        <v xml:space="preserve">◆一年期重大疾病健康保險附約保額以萬元為單位，請您重新輸入！
</v>
      </c>
    </row>
    <row r="27" spans="2:12" ht="13">
      <c r="B27" s="103" t="s">
        <v>217</v>
      </c>
      <c r="C27" s="100">
        <f>IF(BNLTRN1_是否投保,1,IF(OR(BNLTRN1繳費年期&lt;&gt;"",BNLTRN1保額&lt;&gt;""),5,1))</f>
        <v>1</v>
      </c>
      <c r="D27" s="107" t="str">
        <f>"◆此主約商品不可投保喜樂定期壽險附約！
"</f>
        <v xml:space="preserve">◆此主約商品不可投保喜樂定期壽險附約！
</v>
      </c>
      <c r="F27" s="103" t="s">
        <v>218</v>
      </c>
      <c r="G27" s="100">
        <f>IF(AMRNTR1_是否投保,1,2)</f>
        <v>1</v>
      </c>
      <c r="J27" s="103" t="s">
        <v>198</v>
      </c>
      <c r="K27" s="100">
        <f>IF(ADDNTR1保額="",1,IF(ISNUMBER(ADDNTR1保額),IF(OR(ADDNTR1保額&lt;ADDNTR1最低保額,ADDNTR1保額&gt;ADDNTR1最高保額),4,1),2))</f>
        <v>1</v>
      </c>
      <c r="L27" s="103" t="str">
        <f>"◆一年期重大疾病健康保險附約保額請輸入範圍內的金額！
"</f>
        <v xml:space="preserve">◆一年期重大疾病健康保險附約保額請輸入範圍內的金額！
</v>
      </c>
    </row>
    <row r="28" spans="2:12" ht="13">
      <c r="B28" s="103" t="s">
        <v>219</v>
      </c>
      <c r="C28" s="100">
        <f>IF(AND(BNLTRN1保額="",BNLTRN1繳費年期=""),1,IF(OR(AND(BNLTRN1保額&lt;&gt;"",BNLTRN1繳費年期=""),AND(BNLTRN1保額="",BNLTRN1繳費年期&lt;&gt;"")),2,1))</f>
        <v>1</v>
      </c>
      <c r="J28" s="103" t="s">
        <v>217</v>
      </c>
      <c r="K28" s="100">
        <f>IF(ADDNTR1_是否投保,1,IF(ADDNTR1保額&lt;&gt;"",5,1))</f>
        <v>1</v>
      </c>
      <c r="L28" s="107" t="str">
        <f>"◆此主約商品不可投保一年期重大疾病健康保險附約！
"</f>
        <v xml:space="preserve">◆此主約商品不可投保一年期重大疾病健康保險附約！
</v>
      </c>
    </row>
    <row r="29" spans="2:12" ht="13">
      <c r="B29" s="103" t="s">
        <v>218</v>
      </c>
      <c r="C29" s="100">
        <f>IF(BNLTRN1_是否投保,1,2)</f>
        <v>2</v>
      </c>
      <c r="J29" s="103" t="s">
        <v>218</v>
      </c>
      <c r="K29" s="100">
        <f>IF(ADDNTR1_是否投保,1,2)</f>
        <v>1</v>
      </c>
    </row>
    <row r="31" spans="2:12" ht="13" thickBot="1"/>
    <row r="32" spans="2:12" ht="13.5" thickBot="1">
      <c r="B32" s="269" t="s">
        <v>220</v>
      </c>
      <c r="C32" s="277"/>
      <c r="D32" s="278"/>
      <c r="E32" s="107"/>
      <c r="F32" s="269" t="s">
        <v>221</v>
      </c>
      <c r="G32" s="277"/>
      <c r="H32" s="278"/>
      <c r="I32" s="107"/>
      <c r="J32" s="269" t="s">
        <v>222</v>
      </c>
      <c r="K32" s="277"/>
      <c r="L32" s="278"/>
    </row>
    <row r="33" spans="2:12">
      <c r="B33" s="100" t="b">
        <f>C33=1</f>
        <v>1</v>
      </c>
      <c r="C33" s="100">
        <f>MAX(C34:C37)</f>
        <v>1</v>
      </c>
      <c r="F33" s="100" t="b">
        <f>G33=1</f>
        <v>1</v>
      </c>
      <c r="G33" s="100">
        <f>MAX(G34:G36)</f>
        <v>1</v>
      </c>
      <c r="J33" s="100" t="b">
        <f>K33=1</f>
        <v>1</v>
      </c>
      <c r="K33" s="100">
        <f>MAX(K34:K38)</f>
        <v>1</v>
      </c>
    </row>
    <row r="34" spans="2:12" ht="13.9" customHeight="1">
      <c r="B34" s="103" t="s">
        <v>214</v>
      </c>
      <c r="C34" s="100">
        <f>IF(DPAA保額="",1,IF(ISNUMBER(DPAA保額),1,2))</f>
        <v>1</v>
      </c>
      <c r="D34" s="103" t="str">
        <f>"◆人身意外傷害保險附約保額請輸入有效數值！
"</f>
        <v xml:space="preserve">◆人身意外傷害保險附約保額請輸入有效數值！
</v>
      </c>
      <c r="F34" s="103" t="s">
        <v>215</v>
      </c>
      <c r="G34" s="100">
        <f>IF(DPAA保額&lt;=299,IF(ML計劃&gt;20,2,1),1)</f>
        <v>1</v>
      </c>
      <c r="H34" s="109" t="str">
        <f>"◆人身意外傷害住院醫療定額保險給付附加條款計劃請輸入有效方案（DPAA保額小於300萬，僅限投保5~20計劃）！
"</f>
        <v xml:space="preserve">◆人身意外傷害住院醫療定額保險給付附加條款計劃請輸入有效方案（DPAA保額小於300萬，僅限投保5~20計劃）！
</v>
      </c>
      <c r="J34" s="103" t="s">
        <v>214</v>
      </c>
      <c r="K34" s="100">
        <f>IF(MT保額="",1,IF(ISNUMBER(MT保額),1,2))</f>
        <v>1</v>
      </c>
      <c r="L34" s="103" t="str">
        <f>"◆人身意外傷害醫療保險給付附加條款保額請輸入有效數值！
"</f>
        <v xml:space="preserve">◆人身意外傷害醫療保險給付附加條款保額請輸入有效數值！
</v>
      </c>
    </row>
    <row r="35" spans="2:12" ht="13">
      <c r="B35" s="103" t="s">
        <v>216</v>
      </c>
      <c r="C35" s="100">
        <f>IF(DPAA保額="",1,IF(ISNUMBER(DPAA保額),IF(MOD(DPAA保額,10)=0,1,3),2))</f>
        <v>1</v>
      </c>
      <c r="D35" s="103" t="str">
        <f>"◆人身意外傷害保險附約保額以10萬元為單位，請您重新輸入！
"</f>
        <v xml:space="preserve">◆人身意外傷害保險附約保額以10萬元為單位，請您重新輸入！
</v>
      </c>
      <c r="F35" s="103" t="s">
        <v>217</v>
      </c>
      <c r="G35" s="100">
        <f>IF(DPAA檢核,IF(AND(DPAA保額="",ML計劃&lt;&gt;""),3,1),IF(ML計劃&lt;&gt;"",3,1))</f>
        <v>1</v>
      </c>
      <c r="H35" s="103" t="str">
        <f>"◆人身意外傷害住院醫療定額保險給付附加條款計劃需先投保DPAA！
"</f>
        <v xml:space="preserve">◆人身意外傷害住院醫療定額保險給付附加條款計劃需先投保DPAA！
</v>
      </c>
      <c r="J35" s="103" t="s">
        <v>216</v>
      </c>
      <c r="K35" s="100">
        <f>IF(MT保額="",1,IF(ISNUMBER(MT保額),IF(MOD(MT保額*10000,10000)=0,1,3),2))</f>
        <v>1</v>
      </c>
      <c r="L35" s="103" t="str">
        <f>"◆人身意外傷害醫療保險給付附加條款保額以萬元為單位，請您重新輸入！
"</f>
        <v xml:space="preserve">◆人身意外傷害醫療保險給付附加條款保額以萬元為單位，請您重新輸入！
</v>
      </c>
    </row>
    <row r="36" spans="2:12" ht="13.9" customHeight="1">
      <c r="B36" s="103" t="s">
        <v>198</v>
      </c>
      <c r="C36" s="100">
        <f>IF(DPAA保額="",1,IF(ISNUMBER(DPAA保額),IF(OR(DPAA保額&lt;DPAA最低保額,DPAA保額&gt;DPAA最高保額),4,1),2))</f>
        <v>1</v>
      </c>
      <c r="D36" s="107" t="str">
        <f>"◆人身意外傷害保險附約保額請輸入範圍內的金額："&amp;DPAA最低保額&amp;"~"&amp;DPAA最高保額&amp;"萬！
"</f>
        <v xml:space="preserve">◆人身意外傷害保險附約保額請輸入範圍內的金額：10~2000萬！
</v>
      </c>
      <c r="F36" s="103" t="s">
        <v>217</v>
      </c>
      <c r="G36" s="100">
        <f>IF(ML_是否投保,1,IF(ML計劃&lt;&gt;"",4,1))</f>
        <v>1</v>
      </c>
      <c r="H36" s="108" t="str">
        <f>"◆此主約商品不可投保人身意外傷害住院醫療定額保險給付附加條款計劃！
"</f>
        <v xml:space="preserve">◆此主約商品不可投保人身意外傷害住院醫療定額保險給付附加條款計劃！
</v>
      </c>
      <c r="J36" s="103" t="s">
        <v>198</v>
      </c>
      <c r="K36" s="100">
        <f>IF(MT保額="",1,IF(ISNUMBER(MT保額),IF(OR(MT保額&lt;MT最低保額,MT保額&gt;MT最高保額),4,1),2))</f>
        <v>1</v>
      </c>
      <c r="L36" s="107" t="str">
        <f>"◆人身意外傷害醫療保險給付附加條款保額（3~30萬，且不得超過DPAA保額的10%為限；但當DPAA保額小於30萬元時， MT保額限3萬。）請輸入範圍內的金額！
"</f>
        <v xml:space="preserve">◆人身意外傷害醫療保險給付附加條款保額（3~30萬，且不得超過DPAA保額的10%為限；但當DPAA保額小於30萬元時， MT保額限3萬。）請輸入範圍內的金額！
</v>
      </c>
    </row>
    <row r="37" spans="2:12" ht="13">
      <c r="B37" s="103" t="s">
        <v>217</v>
      </c>
      <c r="C37" s="100">
        <f>IF(DPAA_是否投保,1,IF(DPAA保額&lt;&gt;"",5,1))</f>
        <v>1</v>
      </c>
      <c r="D37" s="107" t="str">
        <f>"◆此主約商品不可投保人身意外傷害保險附約！
"</f>
        <v xml:space="preserve">◆此主約商品不可投保人身意外傷害保險附約！
</v>
      </c>
      <c r="F37" s="103" t="s">
        <v>218</v>
      </c>
      <c r="G37" s="100">
        <f>IF(ML_是否投保,1,2)</f>
        <v>1</v>
      </c>
      <c r="J37" s="103" t="s">
        <v>217</v>
      </c>
      <c r="K37" s="100">
        <f>IF(DPAA檢核,IF(AND(DPAA保額="",MT保額&lt;&gt;""),5,1),IF(MT保額&lt;&gt;"",5,1))</f>
        <v>1</v>
      </c>
      <c r="L37" s="103" t="str">
        <f>"◆人身意外傷害醫療保險給付附加條款需先投保DPAA！
"</f>
        <v xml:space="preserve">◆人身意外傷害醫療保險給付附加條款需先投保DPAA！
</v>
      </c>
    </row>
    <row r="38" spans="2:12" ht="13">
      <c r="B38" s="103" t="s">
        <v>218</v>
      </c>
      <c r="C38" s="100">
        <f>IF(DPAA_是否投保,1,2)</f>
        <v>1</v>
      </c>
      <c r="J38" s="103" t="s">
        <v>217</v>
      </c>
      <c r="K38" s="100">
        <f>IF(MT_是否投保,1,IF(MT保額&lt;&gt;"",6,1))</f>
        <v>1</v>
      </c>
      <c r="L38" s="107" t="str">
        <f>"◆此主約商品不可投保人身意外傷害醫療保險給付附加條款！
"</f>
        <v xml:space="preserve">◆此主約商品不可投保人身意外傷害醫療保險給付附加條款！
</v>
      </c>
    </row>
    <row r="39" spans="2:12" ht="13">
      <c r="J39" s="103" t="s">
        <v>218</v>
      </c>
      <c r="K39" s="100">
        <f>IF(MT_是否投保,1,2)</f>
        <v>1</v>
      </c>
    </row>
    <row r="43" spans="2:12" ht="13" thickBot="1"/>
    <row r="44" spans="2:12" ht="13.5" thickBot="1">
      <c r="B44" s="269" t="s">
        <v>223</v>
      </c>
      <c r="C44" s="277"/>
      <c r="D44" s="278"/>
      <c r="E44" s="107"/>
      <c r="F44" s="269" t="s">
        <v>224</v>
      </c>
      <c r="G44" s="277"/>
      <c r="H44" s="278"/>
      <c r="I44" s="107"/>
      <c r="J44" s="279" t="s">
        <v>319</v>
      </c>
      <c r="K44" s="277"/>
      <c r="L44" s="278"/>
    </row>
    <row r="45" spans="2:12">
      <c r="B45" s="100" t="b">
        <f>C45=1</f>
        <v>1</v>
      </c>
      <c r="C45" s="100">
        <f>MAX(C46:C47)</f>
        <v>1</v>
      </c>
      <c r="F45" s="100" t="b">
        <f>G45=1</f>
        <v>1</v>
      </c>
      <c r="G45" s="100">
        <f>MAX(G46:G49)</f>
        <v>1</v>
      </c>
      <c r="J45" s="100" t="b">
        <f>K45=1</f>
        <v>1</v>
      </c>
      <c r="K45" s="100">
        <f>MAX(K46:K49)</f>
        <v>1</v>
      </c>
    </row>
    <row r="46" spans="2:12" ht="13">
      <c r="B46" s="103" t="s">
        <v>225</v>
      </c>
      <c r="C46" s="100">
        <f>IF(ACCNTR1投保單位&lt;&gt;"",IF(保費分齡表對應&lt;&gt;1,2,1),1)</f>
        <v>1</v>
      </c>
      <c r="D46" s="103" t="str">
        <f>"◆愛寶貝定期癌症健康保險附約投保年齡為"&amp;ACCNTR1最小保險年齡&amp;"-"&amp;ACCNTR1最大保險年齡&amp;"歲！
"</f>
        <v xml:space="preserve">◆愛寶貝定期癌症健康保險附約投保年齡為1-15歲！
</v>
      </c>
      <c r="F46" s="103" t="s">
        <v>214</v>
      </c>
      <c r="G46" s="100">
        <f>IF(ACCNTR2保額="",1,IF(ISNUMBER(ACCNTR2保額),1,2))</f>
        <v>1</v>
      </c>
      <c r="H46" s="103" t="str">
        <f>"◆標靶守護防癌健康保險附約保額請輸入有效數值！"</f>
        <v>◆標靶守護防癌健康保險附約保額請輸入有效數值！</v>
      </c>
      <c r="J46" s="103" t="s">
        <v>214</v>
      </c>
      <c r="K46" s="100">
        <f>IF(ACCNTR3保額="",1,IF(ISNUMBER(ACCNTR3保額),1,2))</f>
        <v>1</v>
      </c>
      <c r="L46" s="103" t="str">
        <f>"◆愛要守護防癌健康保險附約保額請輸入有效數值！"</f>
        <v>◆愛要守護防癌健康保險附約保額請輸入有效數值！</v>
      </c>
    </row>
    <row r="47" spans="2:12" ht="13">
      <c r="B47" s="103" t="s">
        <v>217</v>
      </c>
      <c r="C47" s="100">
        <f>IF(ACCNTR1_是否投保,1,IF(ACCNTR1投保單位&lt;&gt;"",3,1))</f>
        <v>1</v>
      </c>
      <c r="D47" s="103" t="str">
        <f>"◆此主約商品不可投保愛寶貝定期癌症健康保險附約！
"</f>
        <v xml:space="preserve">◆此主約商品不可投保愛寶貝定期癌症健康保險附約！
</v>
      </c>
      <c r="F47" s="103" t="s">
        <v>216</v>
      </c>
      <c r="G47" s="100">
        <f>IF(ACCNTR2保額="",1,IF(ISNUMBER(ACCNTR2保額),IF(MOD(ACCNTR2保額*10000,10000)=0,1,3),2))</f>
        <v>1</v>
      </c>
      <c r="H47" s="103" t="str">
        <f>"◆標靶守護防癌健康保險附約保額以萬元為單位，請您重新輸入！
"</f>
        <v xml:space="preserve">◆標靶守護防癌健康保險附約保額以萬元為單位，請您重新輸入！
</v>
      </c>
      <c r="J47" s="103" t="s">
        <v>216</v>
      </c>
      <c r="K47" s="100">
        <f>IF(ACCNTR3保額="",1,IF(ISNUMBER(ACCNTR3保額),IF(MOD(ACCNTR3保額*10000,10000)=0,1,3),2))</f>
        <v>1</v>
      </c>
      <c r="L47" s="103" t="str">
        <f>"◆愛要守護防癌健康保險附約保額以萬元為單位，請您重新輸入！
"</f>
        <v xml:space="preserve">◆愛要守護防癌健康保險附約保額以萬元為單位，請您重新輸入！
</v>
      </c>
    </row>
    <row r="48" spans="2:12" ht="13.9" customHeight="1">
      <c r="B48" s="103" t="s">
        <v>218</v>
      </c>
      <c r="C48" s="100">
        <f>IF(ACCNTR1_是否投保,1,2)</f>
        <v>1</v>
      </c>
      <c r="F48" s="103" t="s">
        <v>198</v>
      </c>
      <c r="G48" s="100">
        <f>IF(ACCNTR2保額="",1,IF(ISNUMBER(ACCNTR2保額),IF(OR(ACCNTR2保額&lt;ACCNTR2最低保額,ACCNTR2保額&gt;ACCNTR2最高保額),4,1),2))</f>
        <v>1</v>
      </c>
      <c r="H48" s="103" t="str">
        <f>"◆標靶守護防癌健康保險附約保額請輸入範圍內的金額：15~30萬元！
"</f>
        <v xml:space="preserve">◆標靶守護防癌健康保險附約保額請輸入範圍內的金額：15~30萬元！
</v>
      </c>
      <c r="J48" s="103" t="s">
        <v>198</v>
      </c>
      <c r="K48" s="100">
        <f>IF(ACCNTR3保額="",1,IF(ISNUMBER(ACCNTR3保額),IF(OR(ACCNTR3保額&lt;ACCNTR3最低保額,ACCNTR3保額&gt;ACCNTR3最高保額),4,1),2))</f>
        <v>1</v>
      </c>
      <c r="L48" s="103" t="str">
        <f>"◆愛要守護防癌健康保險附約保額請輸入範圍內的金額：15萬元！
"</f>
        <v xml:space="preserve">◆愛要守護防癌健康保險附約保額請輸入範圍內的金額：15萬元！
</v>
      </c>
    </row>
    <row r="49" spans="6:12" ht="13">
      <c r="F49" s="103" t="s">
        <v>217</v>
      </c>
      <c r="G49" s="100">
        <f>IF(ACCNTR2_是否投保,1,IF(ACCNTR2保額&lt;&gt;"",5,1))</f>
        <v>1</v>
      </c>
      <c r="H49" s="103" t="str">
        <f>"◆此主約商品不可投保標靶守護防癌健康保險附約！
"</f>
        <v xml:space="preserve">◆此主約商品不可投保標靶守護防癌健康保險附約！
</v>
      </c>
      <c r="J49" s="103" t="s">
        <v>217</v>
      </c>
      <c r="K49" s="100" cm="1">
        <f t="array" ref="K49">IF(ACCNTR3_是否投保,1,IF(ACCNTR3保額&lt;&gt;"",5,1))</f>
        <v>1</v>
      </c>
      <c r="L49" s="103" t="str">
        <f>"◆此主約商品不可投保愛要守護防癌健康保險附約！
"</f>
        <v xml:space="preserve">◆此主約商品不可投保愛要守護防癌健康保險附約！
</v>
      </c>
    </row>
    <row r="50" spans="6:12" ht="13">
      <c r="F50" s="103" t="s">
        <v>218</v>
      </c>
      <c r="G50" s="100">
        <f>IF(ACCNTR2_是否投保,1,2)</f>
        <v>1</v>
      </c>
      <c r="J50" s="103" t="s">
        <v>218</v>
      </c>
      <c r="K50" s="100" cm="1">
        <f t="array" ref="K50">IF(ACCNTR3_是否投保,1,2)</f>
        <v>1</v>
      </c>
    </row>
  </sheetData>
  <sheetProtection algorithmName="SHA-512" hashValue="LJnoCy7hHXyzwIuhNdYVDQwq7jGHHquYgrlKeD89LEKXtA2Bx/3/xWVsqCe81e6qzg1sqR2gFEua7lU/KXzvlQ==" saltValue="iG/RUWuGapRsAy04TAmtEw==" spinCount="100000" sheet="1" objects="1" scenarios="1"/>
  <mergeCells count="14">
    <mergeCell ref="B44:D44"/>
    <mergeCell ref="F44:H44"/>
    <mergeCell ref="J44:L44"/>
    <mergeCell ref="B22:D22"/>
    <mergeCell ref="F22:H22"/>
    <mergeCell ref="J22:L22"/>
    <mergeCell ref="F32:H32"/>
    <mergeCell ref="B32:D32"/>
    <mergeCell ref="J32:L32"/>
    <mergeCell ref="B5:L5"/>
    <mergeCell ref="F6:H6"/>
    <mergeCell ref="B6:D6"/>
    <mergeCell ref="B2:L2"/>
    <mergeCell ref="B3:L3"/>
  </mergeCells>
  <phoneticPr fontId="2" type="noConversion"/>
  <conditionalFormatting sqref="B3:L4">
    <cfRule type="containsText" dxfId="0" priority="1" stopIfTrue="1" operator="containsText" text="FALSE">
      <formula>NOT(ISERROR(SEARCH("FALSE",B3)))</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BE0C4-8374-6844-B461-2AA9D8D38621}">
  <sheetPr>
    <tabColor rgb="FFFF5757"/>
  </sheetPr>
  <dimension ref="A1:AV381"/>
  <sheetViews>
    <sheetView topLeftCell="AW1" workbookViewId="0">
      <selection activeCell="C5" sqref="C5:J5"/>
    </sheetView>
  </sheetViews>
  <sheetFormatPr defaultColWidth="10.7265625" defaultRowHeight="17"/>
  <cols>
    <col min="1" max="1" width="12.6328125" style="32" hidden="1" customWidth="1"/>
    <col min="2" max="2" width="8.6328125" style="32" hidden="1" customWidth="1"/>
    <col min="3" max="3" width="12.6328125" style="32" hidden="1" customWidth="1"/>
    <col min="4" max="6" width="8.6328125" style="32" hidden="1" customWidth="1"/>
    <col min="7" max="7" width="10.7265625" hidden="1" customWidth="1"/>
    <col min="8" max="8" width="12.6328125" style="32" hidden="1" customWidth="1"/>
    <col min="9" max="9" width="8.6328125" style="32" hidden="1" customWidth="1"/>
    <col min="10" max="10" width="12.6328125" style="32" hidden="1" customWidth="1"/>
    <col min="11" max="13" width="8.6328125" style="32" hidden="1" customWidth="1"/>
    <col min="14" max="14" width="10.7265625" hidden="1" customWidth="1"/>
    <col min="15" max="15" width="17.08984375" style="32" hidden="1" customWidth="1"/>
    <col min="16" max="16" width="8.6328125" style="32" hidden="1" customWidth="1"/>
    <col min="17" max="17" width="12.6328125" style="32" hidden="1" customWidth="1"/>
    <col min="18" max="20" width="8.6328125" style="32" hidden="1" customWidth="1"/>
    <col min="21" max="21" width="10.7265625" hidden="1" customWidth="1"/>
    <col min="22" max="22" width="12.6328125" style="32" hidden="1" customWidth="1"/>
    <col min="23" max="23" width="8.6328125" style="32" hidden="1" customWidth="1"/>
    <col min="24" max="24" width="12.6328125" style="32" hidden="1" customWidth="1"/>
    <col min="25" max="27" width="8.6328125" style="32" hidden="1" customWidth="1"/>
    <col min="28" max="34" width="10.7265625" hidden="1" customWidth="1"/>
    <col min="35" max="42" width="0" hidden="1" customWidth="1"/>
    <col min="43" max="48" width="0" style="168" hidden="1" customWidth="1"/>
  </cols>
  <sheetData>
    <row r="1" spans="1:48" ht="27.5" thickBot="1">
      <c r="A1" s="64" t="s">
        <v>26</v>
      </c>
      <c r="B1" s="63" t="s">
        <v>27</v>
      </c>
      <c r="C1" s="63" t="s">
        <v>28</v>
      </c>
      <c r="D1" s="63" t="s">
        <v>29</v>
      </c>
      <c r="E1" s="63" t="s">
        <v>30</v>
      </c>
      <c r="F1" s="63" t="s">
        <v>31</v>
      </c>
      <c r="H1" s="63" t="s">
        <v>150</v>
      </c>
      <c r="I1" s="63" t="s">
        <v>27</v>
      </c>
      <c r="J1" s="63" t="s">
        <v>28</v>
      </c>
      <c r="K1" s="63" t="s">
        <v>29</v>
      </c>
      <c r="L1" s="63" t="s">
        <v>30</v>
      </c>
      <c r="M1" s="63" t="s">
        <v>31</v>
      </c>
      <c r="O1" s="62" t="s">
        <v>155</v>
      </c>
      <c r="P1" s="63" t="s">
        <v>27</v>
      </c>
      <c r="Q1" s="63" t="s">
        <v>28</v>
      </c>
      <c r="R1" s="63" t="s">
        <v>29</v>
      </c>
      <c r="S1" s="63" t="s">
        <v>30</v>
      </c>
      <c r="T1" s="63" t="s">
        <v>31</v>
      </c>
      <c r="V1" s="65" t="s">
        <v>156</v>
      </c>
      <c r="W1" s="63" t="s">
        <v>27</v>
      </c>
      <c r="X1" s="63" t="s">
        <v>28</v>
      </c>
      <c r="Y1" s="63" t="s">
        <v>29</v>
      </c>
      <c r="Z1" s="63" t="s">
        <v>30</v>
      </c>
      <c r="AA1" s="63" t="s">
        <v>31</v>
      </c>
      <c r="AC1" s="141" t="s">
        <v>271</v>
      </c>
      <c r="AD1" s="141" t="s">
        <v>27</v>
      </c>
      <c r="AE1" s="141" t="s">
        <v>28</v>
      </c>
      <c r="AF1" s="141" t="s">
        <v>29</v>
      </c>
      <c r="AG1" s="141" t="s">
        <v>30</v>
      </c>
      <c r="AH1" s="141" t="s">
        <v>31</v>
      </c>
      <c r="AJ1" s="162" t="s">
        <v>301</v>
      </c>
      <c r="AK1" s="141" t="s">
        <v>27</v>
      </c>
      <c r="AL1" s="141" t="s">
        <v>28</v>
      </c>
      <c r="AM1" s="141" t="s">
        <v>29</v>
      </c>
      <c r="AN1" s="141" t="s">
        <v>30</v>
      </c>
      <c r="AO1" s="141" t="s">
        <v>31</v>
      </c>
      <c r="AQ1" s="162" t="s">
        <v>307</v>
      </c>
      <c r="AR1" s="141" t="s">
        <v>27</v>
      </c>
      <c r="AS1" s="141" t="s">
        <v>28</v>
      </c>
      <c r="AT1" s="141" t="s">
        <v>29</v>
      </c>
      <c r="AU1" s="141" t="s">
        <v>30</v>
      </c>
      <c r="AV1" s="141" t="s">
        <v>31</v>
      </c>
    </row>
    <row r="2" spans="1:48">
      <c r="A2" s="30" t="str">
        <f>"P"&amp;REPT("0",2-LEN(C2))&amp;C2&amp;"S"&amp;D2&amp;"A"&amp;REPT("0",2-LEN(E2))&amp;E2</f>
        <v>P01S1A00</v>
      </c>
      <c r="B2" s="30"/>
      <c r="C2" s="30">
        <v>1</v>
      </c>
      <c r="D2" s="30">
        <v>1</v>
      </c>
      <c r="E2" s="30">
        <v>0</v>
      </c>
      <c r="F2" s="31">
        <v>4076</v>
      </c>
      <c r="H2" s="30" t="str">
        <f>"P"&amp;REPT("0",2-LEN(J2))&amp;J2&amp;"S"&amp;K2&amp;"A"&amp;REPT("0",2-LEN(L2))&amp;L2</f>
        <v>P15S1A00</v>
      </c>
      <c r="I2" s="30"/>
      <c r="J2" s="30">
        <v>15</v>
      </c>
      <c r="K2" s="30">
        <v>1</v>
      </c>
      <c r="L2" s="30">
        <v>0</v>
      </c>
      <c r="M2" s="31">
        <v>1718</v>
      </c>
      <c r="O2" s="30" t="str">
        <f>"P"&amp;REPT("0",2-LEN(Q2))&amp;Q2&amp;"S"&amp;R2&amp;"A"&amp;REPT("0",2-LEN(S2))&amp;S2</f>
        <v>P10S1A20</v>
      </c>
      <c r="P2" s="30">
        <v>2943</v>
      </c>
      <c r="Q2" s="30">
        <v>10</v>
      </c>
      <c r="R2" s="30">
        <v>1</v>
      </c>
      <c r="S2" s="30">
        <v>20</v>
      </c>
      <c r="T2" s="31">
        <v>12548.999999999998</v>
      </c>
      <c r="V2" s="30" t="str">
        <f>"P"&amp;REPT("0",2-LEN(X2))&amp;X2&amp;"S"&amp;Y2&amp;"A"&amp;REPT("0",2-LEN(Z2))&amp;Z2</f>
        <v>P10S1A20</v>
      </c>
      <c r="W2" s="30">
        <v>2223</v>
      </c>
      <c r="X2" s="30">
        <v>10</v>
      </c>
      <c r="Y2" s="30">
        <v>1</v>
      </c>
      <c r="Z2" s="30">
        <v>20</v>
      </c>
      <c r="AA2" s="31">
        <v>22223</v>
      </c>
      <c r="AC2" s="142" t="str">
        <f>"P"&amp;REPT("0",2-LEN(AE2))&amp;AE2&amp;"S"&amp;AF2&amp;"A"&amp;REPT("0",2-LEN(AG2))&amp;AG2</f>
        <v>P10S1A20</v>
      </c>
      <c r="AD2" s="142"/>
      <c r="AE2" s="142">
        <v>10</v>
      </c>
      <c r="AF2" s="142">
        <v>1</v>
      </c>
      <c r="AG2" s="142">
        <v>20</v>
      </c>
      <c r="AH2" s="143">
        <v>1146</v>
      </c>
      <c r="AJ2" s="142" t="str">
        <f>"P"&amp;REPT("0",2-LEN(AL2))&amp;AL2&amp;"S"&amp;AM2&amp;"A"&amp;REPT("0",2-LEN(AN2))&amp;AN2</f>
        <v>P10S1A01</v>
      </c>
      <c r="AK2" s="142"/>
      <c r="AL2" s="142">
        <v>10</v>
      </c>
      <c r="AM2" s="142">
        <v>1</v>
      </c>
      <c r="AN2" s="142">
        <v>1</v>
      </c>
      <c r="AO2" s="143">
        <v>952</v>
      </c>
      <c r="AQ2" s="163" t="str">
        <f t="shared" ref="AQ2:AQ33" si="0">"P"&amp;REPT("0",2-LEN(AS2))&amp;AS2&amp;"S"&amp;AT2&amp;"A"&amp;REPT("0",2-LEN(AU2))&amp;AU2</f>
        <v>P10S1A20</v>
      </c>
      <c r="AR2" s="163"/>
      <c r="AS2" s="163">
        <v>10</v>
      </c>
      <c r="AT2" s="163">
        <v>1</v>
      </c>
      <c r="AU2" s="163">
        <v>20</v>
      </c>
      <c r="AV2" s="164">
        <v>99</v>
      </c>
    </row>
    <row r="3" spans="1:48">
      <c r="A3" s="30" t="str">
        <f t="shared" ref="A3:A66" si="1">"P"&amp;REPT("0",2-LEN(C3))&amp;C3&amp;"S"&amp;D3&amp;"A"&amp;REPT("0",2-LEN(E3))&amp;E3</f>
        <v>P01S1A01</v>
      </c>
      <c r="B3" s="30"/>
      <c r="C3" s="30">
        <v>1</v>
      </c>
      <c r="D3" s="30">
        <v>1</v>
      </c>
      <c r="E3" s="30">
        <v>1</v>
      </c>
      <c r="F3" s="31">
        <v>3703</v>
      </c>
      <c r="H3" s="30" t="str">
        <f t="shared" ref="H3:H66" si="2">"P"&amp;REPT("0",2-LEN(J3))&amp;J3&amp;"S"&amp;K3&amp;"A"&amp;REPT("0",2-LEN(L3))&amp;L3</f>
        <v>P15S1A01</v>
      </c>
      <c r="I3" s="30"/>
      <c r="J3" s="30">
        <v>15</v>
      </c>
      <c r="K3" s="30">
        <v>1</v>
      </c>
      <c r="L3" s="30">
        <v>1</v>
      </c>
      <c r="M3" s="31">
        <v>1718</v>
      </c>
      <c r="O3" s="30" t="str">
        <f t="shared" ref="O3:O66" si="3">"P"&amp;REPT("0",2-LEN(Q3))&amp;Q3&amp;"S"&amp;R3&amp;"A"&amp;REPT("0",2-LEN(S3))&amp;S3</f>
        <v>P10S1A21</v>
      </c>
      <c r="P3" s="30">
        <v>2943</v>
      </c>
      <c r="Q3" s="30">
        <v>10</v>
      </c>
      <c r="R3" s="30">
        <v>1</v>
      </c>
      <c r="S3" s="30">
        <v>21</v>
      </c>
      <c r="T3" s="31">
        <v>12314</v>
      </c>
      <c r="V3" s="30" t="str">
        <f t="shared" ref="V3:V66" si="4">"P"&amp;REPT("0",2-LEN(X3))&amp;X3&amp;"S"&amp;Y3&amp;"A"&amp;REPT("0",2-LEN(Z3))&amp;Z3</f>
        <v>P10S1A21</v>
      </c>
      <c r="W3" s="30">
        <v>2223</v>
      </c>
      <c r="X3" s="30">
        <v>10</v>
      </c>
      <c r="Y3" s="30">
        <v>1</v>
      </c>
      <c r="Z3" s="30">
        <v>21</v>
      </c>
      <c r="AA3" s="31">
        <v>22119</v>
      </c>
      <c r="AC3" s="144" t="str">
        <f t="shared" ref="AC3:AC65" si="5">"P"&amp;REPT("0",2-LEN(AE3))&amp;AE3&amp;"S"&amp;AF3&amp;"A"&amp;REPT("0",2-LEN(AG3))&amp;AG3</f>
        <v>P10S1A21</v>
      </c>
      <c r="AD3" s="144"/>
      <c r="AE3" s="144">
        <v>10</v>
      </c>
      <c r="AF3" s="144">
        <v>1</v>
      </c>
      <c r="AG3" s="144">
        <v>21</v>
      </c>
      <c r="AH3" s="143">
        <v>1158</v>
      </c>
      <c r="AJ3" s="142" t="str">
        <f t="shared" ref="AJ3:AJ66" si="6">"P"&amp;REPT("0",2-LEN(AL3))&amp;AL3&amp;"S"&amp;AM3&amp;"A"&amp;REPT("0",2-LEN(AN3))&amp;AN3</f>
        <v>P10S1A02</v>
      </c>
      <c r="AK3" s="142"/>
      <c r="AL3" s="142">
        <v>10</v>
      </c>
      <c r="AM3" s="142">
        <v>1</v>
      </c>
      <c r="AN3" s="142">
        <v>2</v>
      </c>
      <c r="AO3" s="143">
        <v>961</v>
      </c>
      <c r="AQ3" s="163" t="str">
        <f t="shared" si="0"/>
        <v>P10S1A21</v>
      </c>
      <c r="AR3" s="163"/>
      <c r="AS3" s="165">
        <v>10</v>
      </c>
      <c r="AT3" s="165">
        <v>1</v>
      </c>
      <c r="AU3" s="163">
        <v>21</v>
      </c>
      <c r="AV3" s="164">
        <v>102</v>
      </c>
    </row>
    <row r="4" spans="1:48">
      <c r="A4" s="30" t="str">
        <f t="shared" si="1"/>
        <v>P01S1A02</v>
      </c>
      <c r="B4" s="30"/>
      <c r="C4" s="30">
        <v>1</v>
      </c>
      <c r="D4" s="30">
        <v>1</v>
      </c>
      <c r="E4" s="30">
        <v>2</v>
      </c>
      <c r="F4" s="31">
        <v>3330</v>
      </c>
      <c r="H4" s="30" t="str">
        <f t="shared" si="2"/>
        <v>P15S1A02</v>
      </c>
      <c r="I4" s="30"/>
      <c r="J4" s="30">
        <v>15</v>
      </c>
      <c r="K4" s="30">
        <v>1</v>
      </c>
      <c r="L4" s="30">
        <v>2</v>
      </c>
      <c r="M4" s="31">
        <v>1718</v>
      </c>
      <c r="O4" s="30" t="str">
        <f t="shared" si="3"/>
        <v>P10S1A22</v>
      </c>
      <c r="P4" s="30">
        <v>2943</v>
      </c>
      <c r="Q4" s="30">
        <v>10</v>
      </c>
      <c r="R4" s="30">
        <v>1</v>
      </c>
      <c r="S4" s="30">
        <v>22</v>
      </c>
      <c r="T4" s="31">
        <v>12082</v>
      </c>
      <c r="V4" s="30" t="str">
        <f t="shared" si="4"/>
        <v>P10S1A22</v>
      </c>
      <c r="W4" s="30">
        <v>2223</v>
      </c>
      <c r="X4" s="30">
        <v>10</v>
      </c>
      <c r="Y4" s="30">
        <v>1</v>
      </c>
      <c r="Z4" s="30">
        <v>22</v>
      </c>
      <c r="AA4" s="31">
        <v>22019.000000000004</v>
      </c>
      <c r="AC4" s="144" t="str">
        <f t="shared" si="5"/>
        <v>P10S1A22</v>
      </c>
      <c r="AD4" s="144"/>
      <c r="AE4" s="142">
        <v>10</v>
      </c>
      <c r="AF4" s="142">
        <v>1</v>
      </c>
      <c r="AG4" s="142">
        <v>22</v>
      </c>
      <c r="AH4" s="143">
        <v>1169</v>
      </c>
      <c r="AJ4" s="142" t="str">
        <f t="shared" si="6"/>
        <v>P10S1A03</v>
      </c>
      <c r="AK4" s="142"/>
      <c r="AL4" s="142">
        <v>10</v>
      </c>
      <c r="AM4" s="142">
        <v>1</v>
      </c>
      <c r="AN4" s="142">
        <v>3</v>
      </c>
      <c r="AO4" s="143">
        <v>971</v>
      </c>
      <c r="AQ4" s="163" t="str">
        <f t="shared" si="0"/>
        <v>P10S1A22</v>
      </c>
      <c r="AR4" s="163"/>
      <c r="AS4" s="163">
        <v>10</v>
      </c>
      <c r="AT4" s="163">
        <v>1</v>
      </c>
      <c r="AU4" s="163">
        <v>22</v>
      </c>
      <c r="AV4" s="164">
        <v>106</v>
      </c>
    </row>
    <row r="5" spans="1:48">
      <c r="A5" s="30" t="str">
        <f t="shared" si="1"/>
        <v>P01S1A03</v>
      </c>
      <c r="B5" s="30"/>
      <c r="C5" s="30">
        <v>1</v>
      </c>
      <c r="D5" s="30">
        <v>1</v>
      </c>
      <c r="E5" s="30">
        <v>3</v>
      </c>
      <c r="F5" s="31">
        <v>2957</v>
      </c>
      <c r="H5" s="30" t="str">
        <f t="shared" si="2"/>
        <v>P15S1A03</v>
      </c>
      <c r="I5" s="30"/>
      <c r="J5" s="30">
        <v>15</v>
      </c>
      <c r="K5" s="30">
        <v>1</v>
      </c>
      <c r="L5" s="30">
        <v>3</v>
      </c>
      <c r="M5" s="31">
        <v>1718</v>
      </c>
      <c r="O5" s="30" t="str">
        <f t="shared" si="3"/>
        <v>P10S1A23</v>
      </c>
      <c r="P5" s="30">
        <v>2943</v>
      </c>
      <c r="Q5" s="30">
        <v>10</v>
      </c>
      <c r="R5" s="30">
        <v>1</v>
      </c>
      <c r="S5" s="30">
        <v>23</v>
      </c>
      <c r="T5" s="31">
        <v>11851</v>
      </c>
      <c r="V5" s="30" t="str">
        <f t="shared" si="4"/>
        <v>P10S1A23</v>
      </c>
      <c r="W5" s="30">
        <v>2223</v>
      </c>
      <c r="X5" s="30">
        <v>10</v>
      </c>
      <c r="Y5" s="30">
        <v>1</v>
      </c>
      <c r="Z5" s="30">
        <v>23</v>
      </c>
      <c r="AA5" s="31">
        <v>21923</v>
      </c>
      <c r="AC5" s="144" t="str">
        <f t="shared" si="5"/>
        <v>P10S1A23</v>
      </c>
      <c r="AD5" s="144"/>
      <c r="AE5" s="144">
        <v>10</v>
      </c>
      <c r="AF5" s="144">
        <v>1</v>
      </c>
      <c r="AG5" s="144">
        <v>23</v>
      </c>
      <c r="AH5" s="143">
        <v>1180</v>
      </c>
      <c r="AJ5" s="142" t="str">
        <f t="shared" si="6"/>
        <v>P10S1A04</v>
      </c>
      <c r="AK5" s="142"/>
      <c r="AL5" s="142">
        <v>10</v>
      </c>
      <c r="AM5" s="142">
        <v>1</v>
      </c>
      <c r="AN5" s="142">
        <v>4</v>
      </c>
      <c r="AO5" s="143">
        <v>980</v>
      </c>
      <c r="AQ5" s="163" t="str">
        <f t="shared" si="0"/>
        <v>P10S1A23</v>
      </c>
      <c r="AR5" s="163"/>
      <c r="AS5" s="165">
        <v>10</v>
      </c>
      <c r="AT5" s="165">
        <v>1</v>
      </c>
      <c r="AU5" s="163">
        <v>23</v>
      </c>
      <c r="AV5" s="164">
        <v>110</v>
      </c>
    </row>
    <row r="6" spans="1:48">
      <c r="A6" s="30" t="str">
        <f t="shared" si="1"/>
        <v>P01S1A04</v>
      </c>
      <c r="B6" s="30"/>
      <c r="C6" s="30">
        <v>1</v>
      </c>
      <c r="D6" s="30">
        <v>1</v>
      </c>
      <c r="E6" s="30">
        <v>4</v>
      </c>
      <c r="F6" s="31">
        <v>2584</v>
      </c>
      <c r="H6" s="30" t="str">
        <f t="shared" si="2"/>
        <v>P15S1A04</v>
      </c>
      <c r="I6" s="30"/>
      <c r="J6" s="30">
        <v>15</v>
      </c>
      <c r="K6" s="30">
        <v>1</v>
      </c>
      <c r="L6" s="30">
        <v>4</v>
      </c>
      <c r="M6" s="31">
        <v>1718</v>
      </c>
      <c r="O6" s="30" t="str">
        <f t="shared" si="3"/>
        <v>P10S1A24</v>
      </c>
      <c r="P6" s="30">
        <v>2943</v>
      </c>
      <c r="Q6" s="30">
        <v>10</v>
      </c>
      <c r="R6" s="30">
        <v>1</v>
      </c>
      <c r="S6" s="30">
        <v>24</v>
      </c>
      <c r="T6" s="31">
        <v>11619</v>
      </c>
      <c r="V6" s="30" t="str">
        <f t="shared" si="4"/>
        <v>P10S1A24</v>
      </c>
      <c r="W6" s="30">
        <v>2223</v>
      </c>
      <c r="X6" s="30">
        <v>10</v>
      </c>
      <c r="Y6" s="30">
        <v>1</v>
      </c>
      <c r="Z6" s="30">
        <v>24</v>
      </c>
      <c r="AA6" s="31">
        <v>21829</v>
      </c>
      <c r="AC6" s="144" t="str">
        <f t="shared" si="5"/>
        <v>P10S1A24</v>
      </c>
      <c r="AD6" s="144"/>
      <c r="AE6" s="142">
        <v>10</v>
      </c>
      <c r="AF6" s="142">
        <v>1</v>
      </c>
      <c r="AG6" s="142">
        <v>24</v>
      </c>
      <c r="AH6" s="143">
        <v>1192</v>
      </c>
      <c r="AJ6" s="142" t="str">
        <f t="shared" si="6"/>
        <v>P10S1A05</v>
      </c>
      <c r="AK6" s="142"/>
      <c r="AL6" s="142">
        <v>10</v>
      </c>
      <c r="AM6" s="142">
        <v>1</v>
      </c>
      <c r="AN6" s="142">
        <v>5</v>
      </c>
      <c r="AO6" s="143">
        <v>989</v>
      </c>
      <c r="AQ6" s="163" t="str">
        <f t="shared" si="0"/>
        <v>P10S1A24</v>
      </c>
      <c r="AR6" s="163"/>
      <c r="AS6" s="163">
        <v>10</v>
      </c>
      <c r="AT6" s="163">
        <v>1</v>
      </c>
      <c r="AU6" s="163">
        <v>24</v>
      </c>
      <c r="AV6" s="164">
        <v>115</v>
      </c>
    </row>
    <row r="7" spans="1:48">
      <c r="A7" s="30" t="str">
        <f t="shared" si="1"/>
        <v>P01S1A05</v>
      </c>
      <c r="B7" s="30"/>
      <c r="C7" s="30">
        <v>1</v>
      </c>
      <c r="D7" s="30">
        <v>1</v>
      </c>
      <c r="E7" s="30">
        <v>5</v>
      </c>
      <c r="F7" s="31">
        <v>1972</v>
      </c>
      <c r="H7" s="30" t="str">
        <f t="shared" si="2"/>
        <v>P15S1A05</v>
      </c>
      <c r="I7" s="30"/>
      <c r="J7" s="30">
        <v>15</v>
      </c>
      <c r="K7" s="30">
        <v>1</v>
      </c>
      <c r="L7" s="30">
        <v>5</v>
      </c>
      <c r="M7" s="31">
        <v>1718</v>
      </c>
      <c r="O7" s="30" t="str">
        <f t="shared" si="3"/>
        <v>P10S1A25</v>
      </c>
      <c r="P7" s="30">
        <v>2943</v>
      </c>
      <c r="Q7" s="30">
        <v>10</v>
      </c>
      <c r="R7" s="30">
        <v>1</v>
      </c>
      <c r="S7" s="30">
        <v>25</v>
      </c>
      <c r="T7" s="31">
        <v>11385</v>
      </c>
      <c r="V7" s="30" t="str">
        <f t="shared" si="4"/>
        <v>P10S1A25</v>
      </c>
      <c r="W7" s="30">
        <v>2223</v>
      </c>
      <c r="X7" s="30">
        <v>10</v>
      </c>
      <c r="Y7" s="30">
        <v>1</v>
      </c>
      <c r="Z7" s="30">
        <v>25</v>
      </c>
      <c r="AA7" s="31">
        <v>21732.999999999996</v>
      </c>
      <c r="AC7" s="144" t="str">
        <f t="shared" si="5"/>
        <v>P10S1A25</v>
      </c>
      <c r="AD7" s="144"/>
      <c r="AE7" s="144">
        <v>10</v>
      </c>
      <c r="AF7" s="144">
        <v>1</v>
      </c>
      <c r="AG7" s="144">
        <v>25</v>
      </c>
      <c r="AH7" s="143">
        <v>1204</v>
      </c>
      <c r="AJ7" s="142" t="str">
        <f t="shared" si="6"/>
        <v>P10S1A06</v>
      </c>
      <c r="AK7" s="142"/>
      <c r="AL7" s="142">
        <v>10</v>
      </c>
      <c r="AM7" s="142">
        <v>1</v>
      </c>
      <c r="AN7" s="142">
        <v>6</v>
      </c>
      <c r="AO7" s="143">
        <v>999</v>
      </c>
      <c r="AQ7" s="163" t="str">
        <f t="shared" si="0"/>
        <v>P10S1A25</v>
      </c>
      <c r="AR7" s="163"/>
      <c r="AS7" s="165">
        <v>10</v>
      </c>
      <c r="AT7" s="165">
        <v>1</v>
      </c>
      <c r="AU7" s="163">
        <v>25</v>
      </c>
      <c r="AV7" s="164">
        <v>121</v>
      </c>
    </row>
    <row r="8" spans="1:48">
      <c r="A8" s="30" t="str">
        <f t="shared" si="1"/>
        <v>P01S1A06</v>
      </c>
      <c r="B8" s="30"/>
      <c r="C8" s="30">
        <v>1</v>
      </c>
      <c r="D8" s="30">
        <v>1</v>
      </c>
      <c r="E8" s="30">
        <v>6</v>
      </c>
      <c r="F8" s="31">
        <v>1647</v>
      </c>
      <c r="H8" s="30" t="str">
        <f t="shared" si="2"/>
        <v>P15S1A06</v>
      </c>
      <c r="I8" s="30"/>
      <c r="J8" s="30">
        <v>15</v>
      </c>
      <c r="K8" s="30">
        <v>1</v>
      </c>
      <c r="L8" s="30">
        <v>6</v>
      </c>
      <c r="M8" s="31">
        <v>1719</v>
      </c>
      <c r="O8" s="30" t="str">
        <f t="shared" si="3"/>
        <v>P10S1A26</v>
      </c>
      <c r="P8" s="30">
        <v>2943</v>
      </c>
      <c r="Q8" s="30">
        <v>10</v>
      </c>
      <c r="R8" s="30">
        <v>1</v>
      </c>
      <c r="S8" s="30">
        <v>26</v>
      </c>
      <c r="T8" s="31">
        <v>11148</v>
      </c>
      <c r="V8" s="30" t="str">
        <f t="shared" si="4"/>
        <v>P10S1A26</v>
      </c>
      <c r="W8" s="30">
        <v>2223</v>
      </c>
      <c r="X8" s="30">
        <v>10</v>
      </c>
      <c r="Y8" s="30">
        <v>1</v>
      </c>
      <c r="Z8" s="30">
        <v>26</v>
      </c>
      <c r="AA8" s="31">
        <v>21636.000000000004</v>
      </c>
      <c r="AC8" s="144" t="str">
        <f t="shared" si="5"/>
        <v>P10S1A26</v>
      </c>
      <c r="AD8" s="144"/>
      <c r="AE8" s="142">
        <v>10</v>
      </c>
      <c r="AF8" s="142">
        <v>1</v>
      </c>
      <c r="AG8" s="142">
        <v>26</v>
      </c>
      <c r="AH8" s="143">
        <v>1215</v>
      </c>
      <c r="AJ8" s="142" t="str">
        <f t="shared" si="6"/>
        <v>P10S1A07</v>
      </c>
      <c r="AK8" s="142"/>
      <c r="AL8" s="142">
        <v>10</v>
      </c>
      <c r="AM8" s="142">
        <v>1</v>
      </c>
      <c r="AN8" s="142">
        <v>7</v>
      </c>
      <c r="AO8" s="143">
        <v>1008</v>
      </c>
      <c r="AQ8" s="163" t="str">
        <f t="shared" si="0"/>
        <v>P10S1A26</v>
      </c>
      <c r="AR8" s="163"/>
      <c r="AS8" s="163">
        <v>10</v>
      </c>
      <c r="AT8" s="163">
        <v>1</v>
      </c>
      <c r="AU8" s="163">
        <v>26</v>
      </c>
      <c r="AV8" s="164">
        <v>128</v>
      </c>
    </row>
    <row r="9" spans="1:48">
      <c r="A9" s="30" t="str">
        <f t="shared" si="1"/>
        <v>P01S1A07</v>
      </c>
      <c r="B9" s="30"/>
      <c r="C9" s="30">
        <v>1</v>
      </c>
      <c r="D9" s="30">
        <v>1</v>
      </c>
      <c r="E9" s="30">
        <v>7</v>
      </c>
      <c r="F9" s="31">
        <v>1321</v>
      </c>
      <c r="H9" s="30" t="str">
        <f t="shared" si="2"/>
        <v>P15S1A07</v>
      </c>
      <c r="I9" s="30"/>
      <c r="J9" s="30">
        <v>15</v>
      </c>
      <c r="K9" s="30">
        <v>1</v>
      </c>
      <c r="L9" s="30">
        <v>7</v>
      </c>
      <c r="M9" s="31">
        <v>1720</v>
      </c>
      <c r="O9" s="30" t="str">
        <f t="shared" si="3"/>
        <v>P10S1A27</v>
      </c>
      <c r="P9" s="30">
        <v>2943</v>
      </c>
      <c r="Q9" s="30">
        <v>10</v>
      </c>
      <c r="R9" s="30">
        <v>1</v>
      </c>
      <c r="S9" s="30">
        <v>27</v>
      </c>
      <c r="T9" s="31">
        <v>10905</v>
      </c>
      <c r="V9" s="30" t="str">
        <f t="shared" si="4"/>
        <v>P10S1A27</v>
      </c>
      <c r="W9" s="30">
        <v>2223</v>
      </c>
      <c r="X9" s="30">
        <v>10</v>
      </c>
      <c r="Y9" s="30">
        <v>1</v>
      </c>
      <c r="Z9" s="30">
        <v>27</v>
      </c>
      <c r="AA9" s="31">
        <v>21535.000000000004</v>
      </c>
      <c r="AC9" s="144" t="str">
        <f t="shared" si="5"/>
        <v>P10S1A27</v>
      </c>
      <c r="AD9" s="144"/>
      <c r="AE9" s="144">
        <v>10</v>
      </c>
      <c r="AF9" s="144">
        <v>1</v>
      </c>
      <c r="AG9" s="144">
        <v>27</v>
      </c>
      <c r="AH9" s="143">
        <v>1227</v>
      </c>
      <c r="AJ9" s="142" t="str">
        <f t="shared" si="6"/>
        <v>P10S1A08</v>
      </c>
      <c r="AK9" s="142"/>
      <c r="AL9" s="142">
        <v>10</v>
      </c>
      <c r="AM9" s="142">
        <v>1</v>
      </c>
      <c r="AN9" s="142">
        <v>8</v>
      </c>
      <c r="AO9" s="143">
        <v>1018</v>
      </c>
      <c r="AQ9" s="163" t="str">
        <f t="shared" si="0"/>
        <v>P10S1A27</v>
      </c>
      <c r="AR9" s="163"/>
      <c r="AS9" s="165">
        <v>10</v>
      </c>
      <c r="AT9" s="165">
        <v>1</v>
      </c>
      <c r="AU9" s="163">
        <v>27</v>
      </c>
      <c r="AV9" s="164">
        <v>137</v>
      </c>
    </row>
    <row r="10" spans="1:48">
      <c r="A10" s="30" t="str">
        <f t="shared" si="1"/>
        <v>P01S1A08</v>
      </c>
      <c r="B10" s="30"/>
      <c r="C10" s="30">
        <v>1</v>
      </c>
      <c r="D10" s="30">
        <v>1</v>
      </c>
      <c r="E10" s="30">
        <v>8</v>
      </c>
      <c r="F10" s="31">
        <v>1243</v>
      </c>
      <c r="H10" s="30" t="str">
        <f t="shared" si="2"/>
        <v>P15S1A08</v>
      </c>
      <c r="I10" s="30"/>
      <c r="J10" s="30">
        <v>15</v>
      </c>
      <c r="K10" s="30">
        <v>1</v>
      </c>
      <c r="L10" s="30">
        <v>8</v>
      </c>
      <c r="M10" s="31">
        <v>1721</v>
      </c>
      <c r="O10" s="30" t="str">
        <f t="shared" si="3"/>
        <v>P10S1A28</v>
      </c>
      <c r="P10" s="30">
        <v>2943</v>
      </c>
      <c r="Q10" s="30">
        <v>10</v>
      </c>
      <c r="R10" s="30">
        <v>1</v>
      </c>
      <c r="S10" s="30">
        <v>28</v>
      </c>
      <c r="T10" s="31">
        <v>10654.999999999998</v>
      </c>
      <c r="V10" s="30" t="str">
        <f t="shared" si="4"/>
        <v>P10S1A28</v>
      </c>
      <c r="W10" s="30">
        <v>2223</v>
      </c>
      <c r="X10" s="30">
        <v>10</v>
      </c>
      <c r="Y10" s="30">
        <v>1</v>
      </c>
      <c r="Z10" s="30">
        <v>28</v>
      </c>
      <c r="AA10" s="31">
        <v>21427.999999999996</v>
      </c>
      <c r="AC10" s="144" t="str">
        <f t="shared" si="5"/>
        <v>P10S1A28</v>
      </c>
      <c r="AD10" s="144"/>
      <c r="AE10" s="142">
        <v>10</v>
      </c>
      <c r="AF10" s="142">
        <v>1</v>
      </c>
      <c r="AG10" s="142">
        <v>28</v>
      </c>
      <c r="AH10" s="143">
        <v>1239</v>
      </c>
      <c r="AJ10" s="142" t="str">
        <f t="shared" si="6"/>
        <v>P10S1A09</v>
      </c>
      <c r="AK10" s="142"/>
      <c r="AL10" s="142">
        <v>10</v>
      </c>
      <c r="AM10" s="142">
        <v>1</v>
      </c>
      <c r="AN10" s="142">
        <v>9</v>
      </c>
      <c r="AO10" s="143">
        <v>1028</v>
      </c>
      <c r="AQ10" s="163" t="str">
        <f t="shared" si="0"/>
        <v>P10S1A28</v>
      </c>
      <c r="AR10" s="163"/>
      <c r="AS10" s="163">
        <v>10</v>
      </c>
      <c r="AT10" s="163">
        <v>1</v>
      </c>
      <c r="AU10" s="163">
        <v>28</v>
      </c>
      <c r="AV10" s="164">
        <v>146</v>
      </c>
    </row>
    <row r="11" spans="1:48">
      <c r="A11" s="30" t="str">
        <f t="shared" si="1"/>
        <v>P01S1A09</v>
      </c>
      <c r="B11" s="30"/>
      <c r="C11" s="30">
        <v>1</v>
      </c>
      <c r="D11" s="30">
        <v>1</v>
      </c>
      <c r="E11" s="30">
        <v>9</v>
      </c>
      <c r="F11" s="31">
        <v>1165</v>
      </c>
      <c r="H11" s="30" t="str">
        <f t="shared" si="2"/>
        <v>P15S1A09</v>
      </c>
      <c r="I11" s="30"/>
      <c r="J11" s="30">
        <v>15</v>
      </c>
      <c r="K11" s="30">
        <v>1</v>
      </c>
      <c r="L11" s="30">
        <v>9</v>
      </c>
      <c r="M11" s="31">
        <v>1722</v>
      </c>
      <c r="O11" s="30" t="str">
        <f t="shared" si="3"/>
        <v>P10S1A29</v>
      </c>
      <c r="P11" s="30">
        <v>2943</v>
      </c>
      <c r="Q11" s="30">
        <v>10</v>
      </c>
      <c r="R11" s="30">
        <v>1</v>
      </c>
      <c r="S11" s="30">
        <v>29</v>
      </c>
      <c r="T11" s="31">
        <v>10397</v>
      </c>
      <c r="V11" s="30" t="str">
        <f t="shared" si="4"/>
        <v>P10S1A29</v>
      </c>
      <c r="W11" s="30">
        <v>2223</v>
      </c>
      <c r="X11" s="30">
        <v>10</v>
      </c>
      <c r="Y11" s="30">
        <v>1</v>
      </c>
      <c r="Z11" s="30">
        <v>29</v>
      </c>
      <c r="AA11" s="31">
        <v>21315</v>
      </c>
      <c r="AC11" s="144" t="str">
        <f t="shared" si="5"/>
        <v>P10S1A29</v>
      </c>
      <c r="AD11" s="144"/>
      <c r="AE11" s="144">
        <v>10</v>
      </c>
      <c r="AF11" s="144">
        <v>1</v>
      </c>
      <c r="AG11" s="144">
        <v>29</v>
      </c>
      <c r="AH11" s="143">
        <v>1250</v>
      </c>
      <c r="AJ11" s="142" t="str">
        <f t="shared" si="6"/>
        <v>P10S1A10</v>
      </c>
      <c r="AK11" s="142"/>
      <c r="AL11" s="142">
        <v>10</v>
      </c>
      <c r="AM11" s="142">
        <v>1</v>
      </c>
      <c r="AN11" s="142">
        <v>10</v>
      </c>
      <c r="AO11" s="143">
        <v>1038</v>
      </c>
      <c r="AQ11" s="163" t="str">
        <f t="shared" si="0"/>
        <v>P10S1A29</v>
      </c>
      <c r="AR11" s="163"/>
      <c r="AS11" s="165">
        <v>10</v>
      </c>
      <c r="AT11" s="165">
        <v>1</v>
      </c>
      <c r="AU11" s="163">
        <v>29</v>
      </c>
      <c r="AV11" s="164">
        <v>157</v>
      </c>
    </row>
    <row r="12" spans="1:48">
      <c r="A12" s="30" t="str">
        <f t="shared" si="1"/>
        <v>P01S1A10</v>
      </c>
      <c r="B12" s="30"/>
      <c r="C12" s="30">
        <v>1</v>
      </c>
      <c r="D12" s="30">
        <v>1</v>
      </c>
      <c r="E12" s="30">
        <v>10</v>
      </c>
      <c r="F12" s="31">
        <v>1112</v>
      </c>
      <c r="H12" s="30" t="str">
        <f t="shared" si="2"/>
        <v>P15S1A10</v>
      </c>
      <c r="I12" s="30"/>
      <c r="J12" s="30">
        <v>15</v>
      </c>
      <c r="K12" s="30">
        <v>1</v>
      </c>
      <c r="L12" s="30">
        <v>10</v>
      </c>
      <c r="M12" s="31">
        <v>1723</v>
      </c>
      <c r="O12" s="30" t="str">
        <f t="shared" si="3"/>
        <v>P10S1A30</v>
      </c>
      <c r="P12" s="30">
        <v>2943</v>
      </c>
      <c r="Q12" s="30">
        <v>10</v>
      </c>
      <c r="R12" s="30">
        <v>1</v>
      </c>
      <c r="S12" s="30">
        <v>30</v>
      </c>
      <c r="T12" s="31">
        <v>10130.999999999998</v>
      </c>
      <c r="V12" s="30" t="str">
        <f t="shared" si="4"/>
        <v>P10S1A30</v>
      </c>
      <c r="W12" s="30">
        <v>2223</v>
      </c>
      <c r="X12" s="30">
        <v>10</v>
      </c>
      <c r="Y12" s="30">
        <v>1</v>
      </c>
      <c r="Z12" s="30">
        <v>30</v>
      </c>
      <c r="AA12" s="31">
        <v>21194</v>
      </c>
      <c r="AC12" s="144" t="str">
        <f t="shared" si="5"/>
        <v>P10S1A30</v>
      </c>
      <c r="AD12" s="144"/>
      <c r="AE12" s="142">
        <v>10</v>
      </c>
      <c r="AF12" s="142">
        <v>1</v>
      </c>
      <c r="AG12" s="142">
        <v>30</v>
      </c>
      <c r="AH12" s="143">
        <v>1263</v>
      </c>
      <c r="AJ12" s="142" t="str">
        <f t="shared" si="6"/>
        <v>P10S1A11</v>
      </c>
      <c r="AK12" s="142"/>
      <c r="AL12" s="142">
        <v>10</v>
      </c>
      <c r="AM12" s="142">
        <v>1</v>
      </c>
      <c r="AN12" s="142">
        <v>11</v>
      </c>
      <c r="AO12" s="143">
        <v>1048</v>
      </c>
      <c r="AQ12" s="163" t="str">
        <f t="shared" si="0"/>
        <v>P10S1A30</v>
      </c>
      <c r="AR12" s="163"/>
      <c r="AS12" s="163">
        <v>10</v>
      </c>
      <c r="AT12" s="163">
        <v>1</v>
      </c>
      <c r="AU12" s="163">
        <v>30</v>
      </c>
      <c r="AV12" s="164">
        <v>169</v>
      </c>
    </row>
    <row r="13" spans="1:48">
      <c r="A13" s="30" t="str">
        <f t="shared" si="1"/>
        <v>P01S1A11</v>
      </c>
      <c r="B13" s="30"/>
      <c r="C13" s="30">
        <v>1</v>
      </c>
      <c r="D13" s="30">
        <v>1</v>
      </c>
      <c r="E13" s="30">
        <v>11</v>
      </c>
      <c r="F13" s="31">
        <v>1031</v>
      </c>
      <c r="H13" s="30" t="str">
        <f t="shared" si="2"/>
        <v>P15S1A11</v>
      </c>
      <c r="I13" s="30"/>
      <c r="J13" s="30">
        <v>15</v>
      </c>
      <c r="K13" s="30">
        <v>1</v>
      </c>
      <c r="L13" s="30">
        <v>11</v>
      </c>
      <c r="M13" s="31">
        <v>1735</v>
      </c>
      <c r="O13" s="30" t="str">
        <f t="shared" si="3"/>
        <v>P10S1A31</v>
      </c>
      <c r="P13" s="30">
        <v>2943</v>
      </c>
      <c r="Q13" s="30">
        <v>10</v>
      </c>
      <c r="R13" s="30">
        <v>1</v>
      </c>
      <c r="S13" s="30">
        <v>31</v>
      </c>
      <c r="T13" s="31">
        <v>9855</v>
      </c>
      <c r="V13" s="30" t="str">
        <f t="shared" si="4"/>
        <v>P10S1A31</v>
      </c>
      <c r="W13" s="30">
        <v>2223</v>
      </c>
      <c r="X13" s="30">
        <v>10</v>
      </c>
      <c r="Y13" s="30">
        <v>1</v>
      </c>
      <c r="Z13" s="30">
        <v>31</v>
      </c>
      <c r="AA13" s="31">
        <v>21064</v>
      </c>
      <c r="AC13" s="144" t="str">
        <f t="shared" si="5"/>
        <v>P10S1A31</v>
      </c>
      <c r="AD13" s="144"/>
      <c r="AE13" s="144">
        <v>10</v>
      </c>
      <c r="AF13" s="144">
        <v>1</v>
      </c>
      <c r="AG13" s="144">
        <v>31</v>
      </c>
      <c r="AH13" s="143">
        <v>1274</v>
      </c>
      <c r="AJ13" s="142" t="str">
        <f t="shared" si="6"/>
        <v>P10S1A12</v>
      </c>
      <c r="AK13" s="142"/>
      <c r="AL13" s="142">
        <v>10</v>
      </c>
      <c r="AM13" s="142">
        <v>1</v>
      </c>
      <c r="AN13" s="142">
        <v>12</v>
      </c>
      <c r="AO13" s="143">
        <v>1058</v>
      </c>
      <c r="AQ13" s="163" t="str">
        <f t="shared" si="0"/>
        <v>P10S1A31</v>
      </c>
      <c r="AR13" s="163"/>
      <c r="AS13" s="165">
        <v>10</v>
      </c>
      <c r="AT13" s="165">
        <v>1</v>
      </c>
      <c r="AU13" s="163">
        <v>31</v>
      </c>
      <c r="AV13" s="164">
        <v>184</v>
      </c>
    </row>
    <row r="14" spans="1:48">
      <c r="A14" s="30" t="str">
        <f t="shared" si="1"/>
        <v>P01S1A12</v>
      </c>
      <c r="B14" s="30"/>
      <c r="C14" s="30">
        <v>1</v>
      </c>
      <c r="D14" s="30">
        <v>1</v>
      </c>
      <c r="E14" s="30">
        <v>12</v>
      </c>
      <c r="F14" s="31">
        <v>951</v>
      </c>
      <c r="H14" s="30" t="str">
        <f t="shared" si="2"/>
        <v>P15S1A12</v>
      </c>
      <c r="I14" s="30"/>
      <c r="J14" s="30">
        <v>15</v>
      </c>
      <c r="K14" s="30">
        <v>1</v>
      </c>
      <c r="L14" s="30">
        <v>12</v>
      </c>
      <c r="M14" s="31">
        <v>1764</v>
      </c>
      <c r="O14" s="30" t="str">
        <f t="shared" si="3"/>
        <v>P10S1A32</v>
      </c>
      <c r="P14" s="30">
        <v>2943</v>
      </c>
      <c r="Q14" s="30">
        <v>10</v>
      </c>
      <c r="R14" s="30">
        <v>1</v>
      </c>
      <c r="S14" s="30">
        <v>32</v>
      </c>
      <c r="T14" s="31">
        <v>9570</v>
      </c>
      <c r="V14" s="30" t="str">
        <f t="shared" si="4"/>
        <v>P10S1A32</v>
      </c>
      <c r="W14" s="30">
        <v>2223</v>
      </c>
      <c r="X14" s="30">
        <v>10</v>
      </c>
      <c r="Y14" s="30">
        <v>1</v>
      </c>
      <c r="Z14" s="30">
        <v>32</v>
      </c>
      <c r="AA14" s="31">
        <v>20924</v>
      </c>
      <c r="AC14" s="144" t="str">
        <f t="shared" si="5"/>
        <v>P10S1A32</v>
      </c>
      <c r="AD14" s="144"/>
      <c r="AE14" s="142">
        <v>10</v>
      </c>
      <c r="AF14" s="142">
        <v>1</v>
      </c>
      <c r="AG14" s="142">
        <v>32</v>
      </c>
      <c r="AH14" s="143">
        <v>1286</v>
      </c>
      <c r="AJ14" s="142" t="str">
        <f t="shared" si="6"/>
        <v>P10S1A13</v>
      </c>
      <c r="AK14" s="142"/>
      <c r="AL14" s="142">
        <v>10</v>
      </c>
      <c r="AM14" s="142">
        <v>1</v>
      </c>
      <c r="AN14" s="142">
        <v>13</v>
      </c>
      <c r="AO14" s="143">
        <v>1069</v>
      </c>
      <c r="AQ14" s="163" t="str">
        <f t="shared" si="0"/>
        <v>P10S1A32</v>
      </c>
      <c r="AR14" s="163"/>
      <c r="AS14" s="163">
        <v>10</v>
      </c>
      <c r="AT14" s="163">
        <v>1</v>
      </c>
      <c r="AU14" s="163">
        <v>32</v>
      </c>
      <c r="AV14" s="164">
        <v>201</v>
      </c>
    </row>
    <row r="15" spans="1:48">
      <c r="A15" s="30" t="str">
        <f t="shared" si="1"/>
        <v>P01S1A13</v>
      </c>
      <c r="B15" s="30"/>
      <c r="C15" s="30">
        <v>1</v>
      </c>
      <c r="D15" s="30">
        <v>1</v>
      </c>
      <c r="E15" s="30">
        <v>13</v>
      </c>
      <c r="F15" s="31">
        <v>954</v>
      </c>
      <c r="H15" s="30" t="str">
        <f t="shared" si="2"/>
        <v>P15S1A13</v>
      </c>
      <c r="I15" s="30"/>
      <c r="J15" s="30">
        <v>15</v>
      </c>
      <c r="K15" s="30">
        <v>1</v>
      </c>
      <c r="L15" s="30">
        <v>13</v>
      </c>
      <c r="M15" s="31">
        <v>1784</v>
      </c>
      <c r="O15" s="30" t="str">
        <f t="shared" si="3"/>
        <v>P10S1A33</v>
      </c>
      <c r="P15" s="30">
        <v>2943</v>
      </c>
      <c r="Q15" s="30">
        <v>10</v>
      </c>
      <c r="R15" s="30">
        <v>1</v>
      </c>
      <c r="S15" s="30">
        <v>33</v>
      </c>
      <c r="T15" s="31">
        <v>9274</v>
      </c>
      <c r="V15" s="30" t="str">
        <f t="shared" si="4"/>
        <v>P10S1A33</v>
      </c>
      <c r="W15" s="30">
        <v>2223</v>
      </c>
      <c r="X15" s="30">
        <v>10</v>
      </c>
      <c r="Y15" s="30">
        <v>1</v>
      </c>
      <c r="Z15" s="30">
        <v>33</v>
      </c>
      <c r="AA15" s="31">
        <v>20775</v>
      </c>
      <c r="AC15" s="144" t="str">
        <f t="shared" si="5"/>
        <v>P10S1A33</v>
      </c>
      <c r="AD15" s="144"/>
      <c r="AE15" s="144">
        <v>10</v>
      </c>
      <c r="AF15" s="144">
        <v>1</v>
      </c>
      <c r="AG15" s="144">
        <v>33</v>
      </c>
      <c r="AH15" s="143">
        <v>1298</v>
      </c>
      <c r="AJ15" s="142" t="str">
        <f t="shared" si="6"/>
        <v>P10S1A14</v>
      </c>
      <c r="AK15" s="142"/>
      <c r="AL15" s="142">
        <v>10</v>
      </c>
      <c r="AM15" s="142">
        <v>1</v>
      </c>
      <c r="AN15" s="142">
        <v>14</v>
      </c>
      <c r="AO15" s="143">
        <v>1079</v>
      </c>
      <c r="AQ15" s="163" t="str">
        <f t="shared" si="0"/>
        <v>P10S1A33</v>
      </c>
      <c r="AR15" s="163"/>
      <c r="AS15" s="165">
        <v>10</v>
      </c>
      <c r="AT15" s="165">
        <v>1</v>
      </c>
      <c r="AU15" s="163">
        <v>33</v>
      </c>
      <c r="AV15" s="164">
        <v>219</v>
      </c>
    </row>
    <row r="16" spans="1:48">
      <c r="A16" s="30" t="str">
        <f t="shared" si="1"/>
        <v>P01S1A14</v>
      </c>
      <c r="B16" s="30"/>
      <c r="C16" s="30">
        <v>1</v>
      </c>
      <c r="D16" s="30">
        <v>1</v>
      </c>
      <c r="E16" s="30">
        <v>14</v>
      </c>
      <c r="F16" s="31">
        <v>957</v>
      </c>
      <c r="H16" s="30" t="str">
        <f t="shared" si="2"/>
        <v>P15S1A14</v>
      </c>
      <c r="I16" s="30"/>
      <c r="J16" s="30">
        <v>15</v>
      </c>
      <c r="K16" s="30">
        <v>1</v>
      </c>
      <c r="L16" s="30">
        <v>14</v>
      </c>
      <c r="M16" s="31">
        <v>1809</v>
      </c>
      <c r="O16" s="30" t="str">
        <f t="shared" si="3"/>
        <v>P10S1A34</v>
      </c>
      <c r="P16" s="30">
        <v>2943</v>
      </c>
      <c r="Q16" s="30">
        <v>10</v>
      </c>
      <c r="R16" s="30">
        <v>1</v>
      </c>
      <c r="S16" s="30">
        <v>34</v>
      </c>
      <c r="T16" s="31">
        <v>8968</v>
      </c>
      <c r="V16" s="30" t="str">
        <f t="shared" si="4"/>
        <v>P10S1A34</v>
      </c>
      <c r="W16" s="30">
        <v>2223</v>
      </c>
      <c r="X16" s="30">
        <v>10</v>
      </c>
      <c r="Y16" s="30">
        <v>1</v>
      </c>
      <c r="Z16" s="30">
        <v>34</v>
      </c>
      <c r="AA16" s="31">
        <v>20615</v>
      </c>
      <c r="AC16" s="144" t="str">
        <f t="shared" si="5"/>
        <v>P10S1A34</v>
      </c>
      <c r="AD16" s="144"/>
      <c r="AE16" s="142">
        <v>10</v>
      </c>
      <c r="AF16" s="142">
        <v>1</v>
      </c>
      <c r="AG16" s="142">
        <v>34</v>
      </c>
      <c r="AH16" s="143">
        <v>1310</v>
      </c>
      <c r="AJ16" s="142" t="str">
        <f t="shared" si="6"/>
        <v>P10S1A15</v>
      </c>
      <c r="AK16" s="142"/>
      <c r="AL16" s="142">
        <v>10</v>
      </c>
      <c r="AM16" s="142">
        <v>1</v>
      </c>
      <c r="AN16" s="142">
        <v>15</v>
      </c>
      <c r="AO16" s="143">
        <v>1090</v>
      </c>
      <c r="AQ16" s="163" t="str">
        <f t="shared" si="0"/>
        <v>P10S1A34</v>
      </c>
      <c r="AR16" s="163"/>
      <c r="AS16" s="163">
        <v>10</v>
      </c>
      <c r="AT16" s="163">
        <v>1</v>
      </c>
      <c r="AU16" s="163">
        <v>34</v>
      </c>
      <c r="AV16" s="164">
        <v>239</v>
      </c>
    </row>
    <row r="17" spans="1:48">
      <c r="A17" s="30" t="str">
        <f t="shared" si="1"/>
        <v>P01S1A15</v>
      </c>
      <c r="B17" s="30"/>
      <c r="C17" s="30">
        <v>1</v>
      </c>
      <c r="D17" s="30">
        <v>1</v>
      </c>
      <c r="E17" s="30">
        <v>15</v>
      </c>
      <c r="F17" s="31">
        <v>1164</v>
      </c>
      <c r="H17" s="30" t="str">
        <f t="shared" si="2"/>
        <v>P15S1A15</v>
      </c>
      <c r="I17" s="30"/>
      <c r="J17" s="30">
        <v>15</v>
      </c>
      <c r="K17" s="30">
        <v>1</v>
      </c>
      <c r="L17" s="30">
        <v>15</v>
      </c>
      <c r="M17" s="31">
        <v>1837</v>
      </c>
      <c r="O17" s="30" t="str">
        <f t="shared" si="3"/>
        <v>P10S1A35</v>
      </c>
      <c r="P17" s="30">
        <v>2943</v>
      </c>
      <c r="Q17" s="30">
        <v>10</v>
      </c>
      <c r="R17" s="30">
        <v>1</v>
      </c>
      <c r="S17" s="30">
        <v>35</v>
      </c>
      <c r="T17" s="31">
        <v>8651</v>
      </c>
      <c r="V17" s="30" t="str">
        <f t="shared" si="4"/>
        <v>P10S1A35</v>
      </c>
      <c r="W17" s="30">
        <v>2223</v>
      </c>
      <c r="X17" s="30">
        <v>10</v>
      </c>
      <c r="Y17" s="30">
        <v>1</v>
      </c>
      <c r="Z17" s="30">
        <v>35</v>
      </c>
      <c r="AA17" s="31">
        <v>20445.000000000004</v>
      </c>
      <c r="AC17" s="144" t="str">
        <f t="shared" si="5"/>
        <v>P10S1A35</v>
      </c>
      <c r="AD17" s="144"/>
      <c r="AE17" s="144">
        <v>10</v>
      </c>
      <c r="AF17" s="144">
        <v>1</v>
      </c>
      <c r="AG17" s="144">
        <v>35</v>
      </c>
      <c r="AH17" s="143">
        <v>1322</v>
      </c>
      <c r="AJ17" s="142" t="str">
        <f t="shared" si="6"/>
        <v>P10S1A16</v>
      </c>
      <c r="AK17" s="142"/>
      <c r="AL17" s="142">
        <v>10</v>
      </c>
      <c r="AM17" s="142">
        <v>1</v>
      </c>
      <c r="AN17" s="142">
        <v>16</v>
      </c>
      <c r="AO17" s="143">
        <v>1101</v>
      </c>
      <c r="AQ17" s="163" t="str">
        <f t="shared" si="0"/>
        <v>P10S1A35</v>
      </c>
      <c r="AR17" s="163"/>
      <c r="AS17" s="165">
        <v>10</v>
      </c>
      <c r="AT17" s="165">
        <v>1</v>
      </c>
      <c r="AU17" s="163">
        <v>35</v>
      </c>
      <c r="AV17" s="164">
        <v>259</v>
      </c>
    </row>
    <row r="18" spans="1:48">
      <c r="A18" s="30" t="str">
        <f t="shared" si="1"/>
        <v>P01S1A16</v>
      </c>
      <c r="B18" s="30"/>
      <c r="C18" s="30">
        <v>1</v>
      </c>
      <c r="D18" s="30">
        <v>1</v>
      </c>
      <c r="E18" s="30">
        <v>16</v>
      </c>
      <c r="F18" s="31">
        <v>1178</v>
      </c>
      <c r="H18" s="30" t="str">
        <f t="shared" si="2"/>
        <v>P15S1A16</v>
      </c>
      <c r="I18" s="30"/>
      <c r="J18" s="30">
        <v>15</v>
      </c>
      <c r="K18" s="30">
        <v>1</v>
      </c>
      <c r="L18" s="30">
        <v>16</v>
      </c>
      <c r="M18" s="31">
        <v>1859</v>
      </c>
      <c r="O18" s="30" t="str">
        <f t="shared" si="3"/>
        <v>P10S1A36</v>
      </c>
      <c r="P18" s="30">
        <v>2943</v>
      </c>
      <c r="Q18" s="30">
        <v>10</v>
      </c>
      <c r="R18" s="30">
        <v>1</v>
      </c>
      <c r="S18" s="30">
        <v>36</v>
      </c>
      <c r="T18" s="31">
        <v>8324</v>
      </c>
      <c r="V18" s="30" t="str">
        <f t="shared" si="4"/>
        <v>P10S1A36</v>
      </c>
      <c r="W18" s="30">
        <v>2223</v>
      </c>
      <c r="X18" s="30">
        <v>10</v>
      </c>
      <c r="Y18" s="30">
        <v>1</v>
      </c>
      <c r="Z18" s="30">
        <v>36</v>
      </c>
      <c r="AA18" s="31">
        <v>20265</v>
      </c>
      <c r="AC18" s="144" t="str">
        <f t="shared" si="5"/>
        <v>P10S1A36</v>
      </c>
      <c r="AD18" s="144"/>
      <c r="AE18" s="142">
        <v>10</v>
      </c>
      <c r="AF18" s="142">
        <v>1</v>
      </c>
      <c r="AG18" s="142">
        <v>36</v>
      </c>
      <c r="AH18" s="143">
        <v>1334</v>
      </c>
      <c r="AJ18" s="142" t="str">
        <f t="shared" si="6"/>
        <v>P10S1A17</v>
      </c>
      <c r="AK18" s="142"/>
      <c r="AL18" s="142">
        <v>10</v>
      </c>
      <c r="AM18" s="142">
        <v>1</v>
      </c>
      <c r="AN18" s="142">
        <v>17</v>
      </c>
      <c r="AO18" s="143">
        <v>1112</v>
      </c>
      <c r="AQ18" s="163" t="str">
        <f t="shared" si="0"/>
        <v>P10S1A36</v>
      </c>
      <c r="AR18" s="163"/>
      <c r="AS18" s="163">
        <v>10</v>
      </c>
      <c r="AT18" s="163">
        <v>1</v>
      </c>
      <c r="AU18" s="163">
        <v>36</v>
      </c>
      <c r="AV18" s="164">
        <v>282</v>
      </c>
    </row>
    <row r="19" spans="1:48">
      <c r="A19" s="30" t="str">
        <f t="shared" si="1"/>
        <v>P01S1A17</v>
      </c>
      <c r="B19" s="30"/>
      <c r="C19" s="30">
        <v>1</v>
      </c>
      <c r="D19" s="30">
        <v>1</v>
      </c>
      <c r="E19" s="30">
        <v>17</v>
      </c>
      <c r="F19" s="31">
        <v>1192</v>
      </c>
      <c r="H19" s="30" t="str">
        <f t="shared" si="2"/>
        <v>P15S1A17</v>
      </c>
      <c r="I19" s="30"/>
      <c r="J19" s="30">
        <v>15</v>
      </c>
      <c r="K19" s="30">
        <v>1</v>
      </c>
      <c r="L19" s="30">
        <v>17</v>
      </c>
      <c r="M19" s="31">
        <v>1886</v>
      </c>
      <c r="O19" s="30" t="str">
        <f t="shared" si="3"/>
        <v>P10S1A37</v>
      </c>
      <c r="P19" s="30">
        <v>2943</v>
      </c>
      <c r="Q19" s="30">
        <v>10</v>
      </c>
      <c r="R19" s="30">
        <v>1</v>
      </c>
      <c r="S19" s="30">
        <v>37</v>
      </c>
      <c r="T19" s="31">
        <v>7988</v>
      </c>
      <c r="V19" s="30" t="str">
        <f t="shared" si="4"/>
        <v>P10S1A37</v>
      </c>
      <c r="W19" s="30">
        <v>2223</v>
      </c>
      <c r="X19" s="30">
        <v>10</v>
      </c>
      <c r="Y19" s="30">
        <v>1</v>
      </c>
      <c r="Z19" s="30">
        <v>37</v>
      </c>
      <c r="AA19" s="31">
        <v>20075</v>
      </c>
      <c r="AC19" s="144" t="str">
        <f t="shared" si="5"/>
        <v>P10S1A37</v>
      </c>
      <c r="AD19" s="144"/>
      <c r="AE19" s="144">
        <v>10</v>
      </c>
      <c r="AF19" s="144">
        <v>1</v>
      </c>
      <c r="AG19" s="144">
        <v>37</v>
      </c>
      <c r="AH19" s="143">
        <v>1345</v>
      </c>
      <c r="AJ19" s="142" t="str">
        <f t="shared" si="6"/>
        <v>P10S1A18</v>
      </c>
      <c r="AK19" s="142"/>
      <c r="AL19" s="142">
        <v>10</v>
      </c>
      <c r="AM19" s="142">
        <v>1</v>
      </c>
      <c r="AN19" s="142">
        <v>18</v>
      </c>
      <c r="AO19" s="143">
        <v>1123</v>
      </c>
      <c r="AQ19" s="163" t="str">
        <f t="shared" si="0"/>
        <v>P10S1A37</v>
      </c>
      <c r="AR19" s="163"/>
      <c r="AS19" s="165">
        <v>10</v>
      </c>
      <c r="AT19" s="165">
        <v>1</v>
      </c>
      <c r="AU19" s="163">
        <v>37</v>
      </c>
      <c r="AV19" s="164">
        <v>306</v>
      </c>
    </row>
    <row r="20" spans="1:48">
      <c r="A20" s="30" t="str">
        <f t="shared" si="1"/>
        <v>P01S1A18</v>
      </c>
      <c r="B20" s="30"/>
      <c r="C20" s="30">
        <v>1</v>
      </c>
      <c r="D20" s="30">
        <v>1</v>
      </c>
      <c r="E20" s="30">
        <v>18</v>
      </c>
      <c r="F20" s="31">
        <v>1211</v>
      </c>
      <c r="H20" s="30" t="str">
        <f t="shared" si="2"/>
        <v>P15S1A18</v>
      </c>
      <c r="I20" s="30"/>
      <c r="J20" s="30">
        <v>15</v>
      </c>
      <c r="K20" s="30">
        <v>1</v>
      </c>
      <c r="L20" s="30">
        <v>18</v>
      </c>
      <c r="M20" s="31">
        <v>1914</v>
      </c>
      <c r="O20" s="30" t="str">
        <f t="shared" si="3"/>
        <v>P10S1A38</v>
      </c>
      <c r="P20" s="30">
        <v>2943</v>
      </c>
      <c r="Q20" s="30">
        <v>10</v>
      </c>
      <c r="R20" s="30">
        <v>1</v>
      </c>
      <c r="S20" s="30">
        <v>38</v>
      </c>
      <c r="T20" s="31">
        <v>7643</v>
      </c>
      <c r="V20" s="30" t="str">
        <f t="shared" si="4"/>
        <v>P10S1A38</v>
      </c>
      <c r="W20" s="30">
        <v>2223</v>
      </c>
      <c r="X20" s="30">
        <v>10</v>
      </c>
      <c r="Y20" s="30">
        <v>1</v>
      </c>
      <c r="Z20" s="30">
        <v>38</v>
      </c>
      <c r="AA20" s="31">
        <v>19875</v>
      </c>
      <c r="AC20" s="144" t="str">
        <f t="shared" si="5"/>
        <v>P10S1A38</v>
      </c>
      <c r="AD20" s="144"/>
      <c r="AE20" s="142">
        <v>10</v>
      </c>
      <c r="AF20" s="142">
        <v>1</v>
      </c>
      <c r="AG20" s="142">
        <v>38</v>
      </c>
      <c r="AH20" s="143">
        <v>1357</v>
      </c>
      <c r="AJ20" s="142" t="str">
        <f t="shared" si="6"/>
        <v>P10S1A19</v>
      </c>
      <c r="AK20" s="142"/>
      <c r="AL20" s="142">
        <v>10</v>
      </c>
      <c r="AM20" s="142">
        <v>1</v>
      </c>
      <c r="AN20" s="142">
        <v>19</v>
      </c>
      <c r="AO20" s="143">
        <v>1134</v>
      </c>
      <c r="AQ20" s="163" t="str">
        <f t="shared" si="0"/>
        <v>P10S1A38</v>
      </c>
      <c r="AR20" s="163"/>
      <c r="AS20" s="163">
        <v>10</v>
      </c>
      <c r="AT20" s="163">
        <v>1</v>
      </c>
      <c r="AU20" s="163">
        <v>38</v>
      </c>
      <c r="AV20" s="164">
        <v>332</v>
      </c>
    </row>
    <row r="21" spans="1:48">
      <c r="A21" s="30" t="str">
        <f t="shared" si="1"/>
        <v>P01S1A19</v>
      </c>
      <c r="B21" s="30"/>
      <c r="C21" s="30">
        <v>1</v>
      </c>
      <c r="D21" s="30">
        <v>1</v>
      </c>
      <c r="E21" s="30">
        <v>19</v>
      </c>
      <c r="F21" s="31">
        <v>1231</v>
      </c>
      <c r="H21" s="30" t="str">
        <f t="shared" si="2"/>
        <v>P15S1A19</v>
      </c>
      <c r="I21" s="30"/>
      <c r="J21" s="30">
        <v>15</v>
      </c>
      <c r="K21" s="30">
        <v>1</v>
      </c>
      <c r="L21" s="30">
        <v>19</v>
      </c>
      <c r="M21" s="31">
        <v>1940</v>
      </c>
      <c r="O21" s="30" t="str">
        <f t="shared" si="3"/>
        <v>P10S1A39</v>
      </c>
      <c r="P21" s="30">
        <v>2943</v>
      </c>
      <c r="Q21" s="30">
        <v>10</v>
      </c>
      <c r="R21" s="30">
        <v>1</v>
      </c>
      <c r="S21" s="30">
        <v>39</v>
      </c>
      <c r="T21" s="31">
        <v>7291</v>
      </c>
      <c r="V21" s="30" t="str">
        <f t="shared" si="4"/>
        <v>P10S1A39</v>
      </c>
      <c r="W21" s="30">
        <v>2223</v>
      </c>
      <c r="X21" s="30">
        <v>10</v>
      </c>
      <c r="Y21" s="30">
        <v>1</v>
      </c>
      <c r="Z21" s="30">
        <v>39</v>
      </c>
      <c r="AA21" s="31">
        <v>19665</v>
      </c>
      <c r="AC21" s="144" t="str">
        <f t="shared" si="5"/>
        <v>P10S1A39</v>
      </c>
      <c r="AD21" s="144"/>
      <c r="AE21" s="144">
        <v>10</v>
      </c>
      <c r="AF21" s="144">
        <v>1</v>
      </c>
      <c r="AG21" s="144">
        <v>39</v>
      </c>
      <c r="AH21" s="143">
        <v>1369</v>
      </c>
      <c r="AJ21" s="142" t="str">
        <f t="shared" si="6"/>
        <v>P10S1A20</v>
      </c>
      <c r="AK21" s="142"/>
      <c r="AL21" s="142">
        <v>10</v>
      </c>
      <c r="AM21" s="142">
        <v>1</v>
      </c>
      <c r="AN21" s="142">
        <v>20</v>
      </c>
      <c r="AO21" s="143">
        <v>1146</v>
      </c>
      <c r="AQ21" s="163" t="str">
        <f t="shared" si="0"/>
        <v>P10S1A39</v>
      </c>
      <c r="AR21" s="163"/>
      <c r="AS21" s="165">
        <v>10</v>
      </c>
      <c r="AT21" s="165">
        <v>1</v>
      </c>
      <c r="AU21" s="163">
        <v>39</v>
      </c>
      <c r="AV21" s="164">
        <v>359</v>
      </c>
    </row>
    <row r="22" spans="1:48">
      <c r="A22" s="30" t="str">
        <f t="shared" si="1"/>
        <v>P01S1A20</v>
      </c>
      <c r="B22" s="30"/>
      <c r="C22" s="30">
        <v>1</v>
      </c>
      <c r="D22" s="30">
        <v>1</v>
      </c>
      <c r="E22" s="30">
        <v>20</v>
      </c>
      <c r="F22" s="31">
        <v>1405</v>
      </c>
      <c r="H22" s="30" t="str">
        <f t="shared" si="2"/>
        <v>P15S1A20</v>
      </c>
      <c r="I22" s="30"/>
      <c r="J22" s="30">
        <v>15</v>
      </c>
      <c r="K22" s="30">
        <v>1</v>
      </c>
      <c r="L22" s="30">
        <v>20</v>
      </c>
      <c r="M22" s="31">
        <v>1966</v>
      </c>
      <c r="O22" s="30" t="str">
        <f t="shared" si="3"/>
        <v>P10S1A40</v>
      </c>
      <c r="P22" s="30">
        <v>2943</v>
      </c>
      <c r="Q22" s="30">
        <v>10</v>
      </c>
      <c r="R22" s="30">
        <v>1</v>
      </c>
      <c r="S22" s="30">
        <v>40</v>
      </c>
      <c r="T22" s="31">
        <v>6931.0000000000009</v>
      </c>
      <c r="V22" s="30" t="str">
        <f t="shared" si="4"/>
        <v>P10S1A40</v>
      </c>
      <c r="W22" s="30">
        <v>2223</v>
      </c>
      <c r="X22" s="30">
        <v>10</v>
      </c>
      <c r="Y22" s="30">
        <v>1</v>
      </c>
      <c r="Z22" s="30">
        <v>40</v>
      </c>
      <c r="AA22" s="31">
        <v>19448</v>
      </c>
      <c r="AC22" s="144" t="str">
        <f t="shared" si="5"/>
        <v>P10S1A40</v>
      </c>
      <c r="AD22" s="144"/>
      <c r="AE22" s="142">
        <v>10</v>
      </c>
      <c r="AF22" s="142">
        <v>1</v>
      </c>
      <c r="AG22" s="142">
        <v>40</v>
      </c>
      <c r="AH22" s="143">
        <v>1370</v>
      </c>
      <c r="AJ22" s="142" t="str">
        <f t="shared" si="6"/>
        <v>P10S1A21</v>
      </c>
      <c r="AK22" s="142"/>
      <c r="AL22" s="142">
        <v>10</v>
      </c>
      <c r="AM22" s="142">
        <v>1</v>
      </c>
      <c r="AN22" s="142">
        <v>21</v>
      </c>
      <c r="AO22" s="143">
        <v>1158</v>
      </c>
      <c r="AQ22" s="163" t="str">
        <f t="shared" si="0"/>
        <v>P10S1A40</v>
      </c>
      <c r="AR22" s="163"/>
      <c r="AS22" s="163">
        <v>10</v>
      </c>
      <c r="AT22" s="163">
        <v>1</v>
      </c>
      <c r="AU22" s="165">
        <v>40</v>
      </c>
      <c r="AV22" s="164">
        <v>388</v>
      </c>
    </row>
    <row r="23" spans="1:48">
      <c r="A23" s="30" t="str">
        <f t="shared" si="1"/>
        <v>P01S1A21</v>
      </c>
      <c r="B23" s="30"/>
      <c r="C23" s="30">
        <v>1</v>
      </c>
      <c r="D23" s="30">
        <v>1</v>
      </c>
      <c r="E23" s="30">
        <v>21</v>
      </c>
      <c r="F23" s="31">
        <v>1427</v>
      </c>
      <c r="H23" s="30" t="str">
        <f t="shared" si="2"/>
        <v>P15S1A21</v>
      </c>
      <c r="I23" s="30"/>
      <c r="J23" s="30">
        <v>15</v>
      </c>
      <c r="K23" s="30">
        <v>1</v>
      </c>
      <c r="L23" s="30">
        <v>21</v>
      </c>
      <c r="M23" s="31">
        <v>1999</v>
      </c>
      <c r="O23" s="30" t="str">
        <f t="shared" si="3"/>
        <v>P10S1A41</v>
      </c>
      <c r="P23" s="30">
        <v>2943</v>
      </c>
      <c r="Q23" s="30">
        <v>10</v>
      </c>
      <c r="R23" s="30">
        <v>1</v>
      </c>
      <c r="S23" s="30">
        <v>41</v>
      </c>
      <c r="T23" s="31">
        <v>6565</v>
      </c>
      <c r="V23" s="30" t="str">
        <f t="shared" si="4"/>
        <v>P10S1A41</v>
      </c>
      <c r="W23" s="30">
        <v>2223</v>
      </c>
      <c r="X23" s="30">
        <v>10</v>
      </c>
      <c r="Y23" s="30">
        <v>1</v>
      </c>
      <c r="Z23" s="30">
        <v>41</v>
      </c>
      <c r="AA23" s="31">
        <v>19223</v>
      </c>
      <c r="AC23" s="144" t="str">
        <f t="shared" si="5"/>
        <v>P10S1A41</v>
      </c>
      <c r="AD23" s="144"/>
      <c r="AE23" s="144">
        <v>10</v>
      </c>
      <c r="AF23" s="144">
        <v>1</v>
      </c>
      <c r="AG23" s="144">
        <v>41</v>
      </c>
      <c r="AH23" s="143">
        <v>1370</v>
      </c>
      <c r="AJ23" s="142" t="str">
        <f t="shared" si="6"/>
        <v>P10S1A22</v>
      </c>
      <c r="AK23" s="142"/>
      <c r="AL23" s="142">
        <v>10</v>
      </c>
      <c r="AM23" s="142">
        <v>1</v>
      </c>
      <c r="AN23" s="142">
        <v>22</v>
      </c>
      <c r="AO23" s="143">
        <v>1169</v>
      </c>
      <c r="AQ23" s="163" t="str">
        <f t="shared" si="0"/>
        <v>P10S1A41</v>
      </c>
      <c r="AR23" s="163"/>
      <c r="AS23" s="165">
        <v>10</v>
      </c>
      <c r="AT23" s="165">
        <v>1</v>
      </c>
      <c r="AU23" s="163">
        <v>41</v>
      </c>
      <c r="AV23" s="164">
        <v>413</v>
      </c>
    </row>
    <row r="24" spans="1:48">
      <c r="A24" s="30" t="str">
        <f t="shared" si="1"/>
        <v>P01S1A22</v>
      </c>
      <c r="B24" s="30"/>
      <c r="C24" s="30">
        <v>1</v>
      </c>
      <c r="D24" s="30">
        <v>1</v>
      </c>
      <c r="E24" s="30">
        <v>22</v>
      </c>
      <c r="F24" s="31">
        <v>1448</v>
      </c>
      <c r="H24" s="30" t="str">
        <f t="shared" si="2"/>
        <v>P15S1A22</v>
      </c>
      <c r="I24" s="30"/>
      <c r="J24" s="30">
        <v>15</v>
      </c>
      <c r="K24" s="30">
        <v>1</v>
      </c>
      <c r="L24" s="30">
        <v>22</v>
      </c>
      <c r="M24" s="31">
        <v>2032</v>
      </c>
      <c r="O24" s="30" t="str">
        <f t="shared" si="3"/>
        <v>P10S1A42</v>
      </c>
      <c r="P24" s="30">
        <v>2943</v>
      </c>
      <c r="Q24" s="30">
        <v>10</v>
      </c>
      <c r="R24" s="30">
        <v>1</v>
      </c>
      <c r="S24" s="30">
        <v>42</v>
      </c>
      <c r="T24" s="31">
        <v>6193.9999999999991</v>
      </c>
      <c r="V24" s="30" t="str">
        <f t="shared" si="4"/>
        <v>P10S1A42</v>
      </c>
      <c r="W24" s="30">
        <v>2223</v>
      </c>
      <c r="X24" s="30">
        <v>10</v>
      </c>
      <c r="Y24" s="30">
        <v>1</v>
      </c>
      <c r="Z24" s="30">
        <v>42</v>
      </c>
      <c r="AA24" s="31">
        <v>18992</v>
      </c>
      <c r="AC24" s="144" t="str">
        <f t="shared" si="5"/>
        <v>P10S1A42</v>
      </c>
      <c r="AD24" s="144"/>
      <c r="AE24" s="142">
        <v>10</v>
      </c>
      <c r="AF24" s="142">
        <v>1</v>
      </c>
      <c r="AG24" s="142">
        <v>42</v>
      </c>
      <c r="AH24" s="143">
        <v>1370</v>
      </c>
      <c r="AJ24" s="142" t="str">
        <f t="shared" si="6"/>
        <v>P10S1A23</v>
      </c>
      <c r="AK24" s="142"/>
      <c r="AL24" s="142">
        <v>10</v>
      </c>
      <c r="AM24" s="142">
        <v>1</v>
      </c>
      <c r="AN24" s="142">
        <v>23</v>
      </c>
      <c r="AO24" s="143">
        <v>1180</v>
      </c>
      <c r="AQ24" s="163" t="str">
        <f t="shared" si="0"/>
        <v>P10S1A42</v>
      </c>
      <c r="AR24" s="163"/>
      <c r="AS24" s="163">
        <v>10</v>
      </c>
      <c r="AT24" s="163">
        <v>1</v>
      </c>
      <c r="AU24" s="165">
        <v>42</v>
      </c>
      <c r="AV24" s="164">
        <v>439</v>
      </c>
    </row>
    <row r="25" spans="1:48">
      <c r="A25" s="30" t="str">
        <f t="shared" si="1"/>
        <v>P01S1A23</v>
      </c>
      <c r="B25" s="30"/>
      <c r="C25" s="30">
        <v>1</v>
      </c>
      <c r="D25" s="30">
        <v>1</v>
      </c>
      <c r="E25" s="30">
        <v>23</v>
      </c>
      <c r="F25" s="31">
        <v>1471</v>
      </c>
      <c r="H25" s="30" t="str">
        <f t="shared" si="2"/>
        <v>P15S1A23</v>
      </c>
      <c r="I25" s="30"/>
      <c r="J25" s="30">
        <v>15</v>
      </c>
      <c r="K25" s="30">
        <v>1</v>
      </c>
      <c r="L25" s="30">
        <v>23</v>
      </c>
      <c r="M25" s="31">
        <v>2062</v>
      </c>
      <c r="O25" s="30" t="str">
        <f t="shared" si="3"/>
        <v>P10S1A43</v>
      </c>
      <c r="P25" s="30">
        <v>2943</v>
      </c>
      <c r="Q25" s="30">
        <v>10</v>
      </c>
      <c r="R25" s="30">
        <v>1</v>
      </c>
      <c r="S25" s="30">
        <v>43</v>
      </c>
      <c r="T25" s="31">
        <v>5820.9999999999991</v>
      </c>
      <c r="V25" s="30" t="str">
        <f t="shared" si="4"/>
        <v>P10S1A43</v>
      </c>
      <c r="W25" s="30">
        <v>2223</v>
      </c>
      <c r="X25" s="30">
        <v>10</v>
      </c>
      <c r="Y25" s="30">
        <v>1</v>
      </c>
      <c r="Z25" s="30">
        <v>43</v>
      </c>
      <c r="AA25" s="31">
        <v>18755</v>
      </c>
      <c r="AC25" s="144" t="str">
        <f t="shared" si="5"/>
        <v>P10S1A43</v>
      </c>
      <c r="AD25" s="144"/>
      <c r="AE25" s="144">
        <v>10</v>
      </c>
      <c r="AF25" s="144">
        <v>1</v>
      </c>
      <c r="AG25" s="144">
        <v>43</v>
      </c>
      <c r="AH25" s="143">
        <v>1370</v>
      </c>
      <c r="AJ25" s="142" t="str">
        <f t="shared" si="6"/>
        <v>P10S1A24</v>
      </c>
      <c r="AK25" s="142"/>
      <c r="AL25" s="142">
        <v>10</v>
      </c>
      <c r="AM25" s="142">
        <v>1</v>
      </c>
      <c r="AN25" s="142">
        <v>24</v>
      </c>
      <c r="AO25" s="143">
        <v>1192</v>
      </c>
      <c r="AQ25" s="163" t="str">
        <f t="shared" si="0"/>
        <v>P10S1A43</v>
      </c>
      <c r="AR25" s="163"/>
      <c r="AS25" s="165">
        <v>10</v>
      </c>
      <c r="AT25" s="165">
        <v>1</v>
      </c>
      <c r="AU25" s="163">
        <v>43</v>
      </c>
      <c r="AV25" s="164">
        <v>467</v>
      </c>
    </row>
    <row r="26" spans="1:48">
      <c r="A26" s="30" t="str">
        <f t="shared" si="1"/>
        <v>P01S1A24</v>
      </c>
      <c r="B26" s="30"/>
      <c r="C26" s="30">
        <v>1</v>
      </c>
      <c r="D26" s="30">
        <v>1</v>
      </c>
      <c r="E26" s="30">
        <v>24</v>
      </c>
      <c r="F26" s="31">
        <v>1493</v>
      </c>
      <c r="H26" s="30" t="str">
        <f t="shared" si="2"/>
        <v>P15S1A24</v>
      </c>
      <c r="I26" s="30"/>
      <c r="J26" s="30">
        <v>15</v>
      </c>
      <c r="K26" s="30">
        <v>1</v>
      </c>
      <c r="L26" s="30">
        <v>24</v>
      </c>
      <c r="M26" s="31">
        <v>2093</v>
      </c>
      <c r="O26" s="30" t="str">
        <f t="shared" si="3"/>
        <v>P10S1A44</v>
      </c>
      <c r="P26" s="30">
        <v>2943</v>
      </c>
      <c r="Q26" s="30">
        <v>10</v>
      </c>
      <c r="R26" s="30">
        <v>1</v>
      </c>
      <c r="S26" s="30">
        <v>44</v>
      </c>
      <c r="T26" s="31">
        <v>5445</v>
      </c>
      <c r="V26" s="30" t="str">
        <f t="shared" si="4"/>
        <v>P10S1A44</v>
      </c>
      <c r="W26" s="30">
        <v>2223</v>
      </c>
      <c r="X26" s="30">
        <v>10</v>
      </c>
      <c r="Y26" s="30">
        <v>1</v>
      </c>
      <c r="Z26" s="30">
        <v>44</v>
      </c>
      <c r="AA26" s="31">
        <v>18514</v>
      </c>
      <c r="AC26" s="144" t="str">
        <f t="shared" si="5"/>
        <v>P10S1A44</v>
      </c>
      <c r="AD26" s="144"/>
      <c r="AE26" s="142">
        <v>10</v>
      </c>
      <c r="AF26" s="142">
        <v>1</v>
      </c>
      <c r="AG26" s="142">
        <v>44</v>
      </c>
      <c r="AH26" s="143">
        <v>1373</v>
      </c>
      <c r="AJ26" s="142" t="str">
        <f t="shared" si="6"/>
        <v>P10S1A25</v>
      </c>
      <c r="AK26" s="142"/>
      <c r="AL26" s="142">
        <v>10</v>
      </c>
      <c r="AM26" s="142">
        <v>1</v>
      </c>
      <c r="AN26" s="142">
        <v>25</v>
      </c>
      <c r="AO26" s="143">
        <v>1204</v>
      </c>
      <c r="AQ26" s="163" t="str">
        <f t="shared" si="0"/>
        <v>P10S1A44</v>
      </c>
      <c r="AR26" s="163"/>
      <c r="AS26" s="163">
        <v>10</v>
      </c>
      <c r="AT26" s="163">
        <v>1</v>
      </c>
      <c r="AU26" s="165">
        <v>44</v>
      </c>
      <c r="AV26" s="164">
        <v>495</v>
      </c>
    </row>
    <row r="27" spans="1:48">
      <c r="A27" s="30" t="str">
        <f t="shared" si="1"/>
        <v>P01S1A25</v>
      </c>
      <c r="B27" s="30"/>
      <c r="C27" s="30">
        <v>1</v>
      </c>
      <c r="D27" s="30">
        <v>1</v>
      </c>
      <c r="E27" s="30">
        <v>25</v>
      </c>
      <c r="F27" s="31">
        <v>1620</v>
      </c>
      <c r="H27" s="30" t="str">
        <f t="shared" si="2"/>
        <v>P15S1A25</v>
      </c>
      <c r="I27" s="30"/>
      <c r="J27" s="30">
        <v>15</v>
      </c>
      <c r="K27" s="30">
        <v>1</v>
      </c>
      <c r="L27" s="30">
        <v>25</v>
      </c>
      <c r="M27" s="31">
        <v>2122</v>
      </c>
      <c r="O27" s="30" t="str">
        <f t="shared" si="3"/>
        <v>P10S1A45</v>
      </c>
      <c r="P27" s="30">
        <v>2943</v>
      </c>
      <c r="Q27" s="30">
        <v>10</v>
      </c>
      <c r="R27" s="30">
        <v>1</v>
      </c>
      <c r="S27" s="30">
        <v>45</v>
      </c>
      <c r="T27" s="31">
        <v>5070</v>
      </c>
      <c r="V27" s="30" t="str">
        <f t="shared" si="4"/>
        <v>P10S1A45</v>
      </c>
      <c r="W27" s="30">
        <v>2223</v>
      </c>
      <c r="X27" s="30">
        <v>10</v>
      </c>
      <c r="Y27" s="30">
        <v>1</v>
      </c>
      <c r="Z27" s="30">
        <v>45</v>
      </c>
      <c r="AA27" s="31">
        <v>18271</v>
      </c>
      <c r="AC27" s="144" t="str">
        <f t="shared" si="5"/>
        <v>P10S1A45</v>
      </c>
      <c r="AD27" s="144"/>
      <c r="AE27" s="144">
        <v>10</v>
      </c>
      <c r="AF27" s="144">
        <v>1</v>
      </c>
      <c r="AG27" s="144">
        <v>45</v>
      </c>
      <c r="AH27" s="143">
        <v>1374</v>
      </c>
      <c r="AJ27" s="142" t="str">
        <f t="shared" si="6"/>
        <v>P10S1A26</v>
      </c>
      <c r="AK27" s="142"/>
      <c r="AL27" s="142">
        <v>10</v>
      </c>
      <c r="AM27" s="142">
        <v>1</v>
      </c>
      <c r="AN27" s="142">
        <v>26</v>
      </c>
      <c r="AO27" s="143">
        <v>1215</v>
      </c>
      <c r="AQ27" s="163" t="str">
        <f t="shared" si="0"/>
        <v>P10S1A45</v>
      </c>
      <c r="AR27" s="163"/>
      <c r="AS27" s="165">
        <v>10</v>
      </c>
      <c r="AT27" s="165">
        <v>1</v>
      </c>
      <c r="AU27" s="163">
        <v>45</v>
      </c>
      <c r="AV27" s="164">
        <v>525</v>
      </c>
    </row>
    <row r="28" spans="1:48">
      <c r="A28" s="30" t="str">
        <f t="shared" si="1"/>
        <v>P01S1A26</v>
      </c>
      <c r="B28" s="30"/>
      <c r="C28" s="30">
        <v>1</v>
      </c>
      <c r="D28" s="30">
        <v>1</v>
      </c>
      <c r="E28" s="30">
        <v>26</v>
      </c>
      <c r="F28" s="31">
        <v>1643</v>
      </c>
      <c r="H28" s="30" t="str">
        <f t="shared" si="2"/>
        <v>P15S1A26</v>
      </c>
      <c r="I28" s="30"/>
      <c r="J28" s="30">
        <v>15</v>
      </c>
      <c r="K28" s="30">
        <v>1</v>
      </c>
      <c r="L28" s="30">
        <v>26</v>
      </c>
      <c r="M28" s="31">
        <v>2155</v>
      </c>
      <c r="O28" s="30" t="str">
        <f t="shared" si="3"/>
        <v>P10S1A46</v>
      </c>
      <c r="P28" s="30">
        <v>2943</v>
      </c>
      <c r="Q28" s="30">
        <v>10</v>
      </c>
      <c r="R28" s="30">
        <v>1</v>
      </c>
      <c r="S28" s="30">
        <v>46</v>
      </c>
      <c r="T28" s="31">
        <v>4696</v>
      </c>
      <c r="V28" s="30" t="str">
        <f t="shared" si="4"/>
        <v>P10S1A46</v>
      </c>
      <c r="W28" s="30">
        <v>2223</v>
      </c>
      <c r="X28" s="30">
        <v>10</v>
      </c>
      <c r="Y28" s="30">
        <v>1</v>
      </c>
      <c r="Z28" s="30">
        <v>46</v>
      </c>
      <c r="AA28" s="31">
        <v>18026</v>
      </c>
      <c r="AC28" s="144" t="str">
        <f t="shared" si="5"/>
        <v>P10S1A46</v>
      </c>
      <c r="AD28" s="144"/>
      <c r="AE28" s="142">
        <v>10</v>
      </c>
      <c r="AF28" s="142">
        <v>1</v>
      </c>
      <c r="AG28" s="142">
        <v>46</v>
      </c>
      <c r="AH28" s="143">
        <v>1375</v>
      </c>
      <c r="AJ28" s="142" t="str">
        <f t="shared" si="6"/>
        <v>P10S1A27</v>
      </c>
      <c r="AK28" s="142"/>
      <c r="AL28" s="142">
        <v>10</v>
      </c>
      <c r="AM28" s="142">
        <v>1</v>
      </c>
      <c r="AN28" s="142">
        <v>27</v>
      </c>
      <c r="AO28" s="143">
        <v>1227</v>
      </c>
      <c r="AQ28" s="163" t="str">
        <f t="shared" si="0"/>
        <v>P10S1A46</v>
      </c>
      <c r="AR28" s="163"/>
      <c r="AS28" s="163">
        <v>10</v>
      </c>
      <c r="AT28" s="163">
        <v>1</v>
      </c>
      <c r="AU28" s="165">
        <v>46</v>
      </c>
      <c r="AV28" s="164">
        <v>551</v>
      </c>
    </row>
    <row r="29" spans="1:48">
      <c r="A29" s="30" t="str">
        <f t="shared" si="1"/>
        <v>P01S1A27</v>
      </c>
      <c r="B29" s="30"/>
      <c r="C29" s="30">
        <v>1</v>
      </c>
      <c r="D29" s="30">
        <v>1</v>
      </c>
      <c r="E29" s="30">
        <v>27</v>
      </c>
      <c r="F29" s="31">
        <v>1666</v>
      </c>
      <c r="H29" s="30" t="str">
        <f t="shared" si="2"/>
        <v>P15S1A27</v>
      </c>
      <c r="I29" s="30"/>
      <c r="J29" s="30">
        <v>15</v>
      </c>
      <c r="K29" s="30">
        <v>1</v>
      </c>
      <c r="L29" s="30">
        <v>27</v>
      </c>
      <c r="M29" s="31">
        <v>2187</v>
      </c>
      <c r="O29" s="30" t="str">
        <f t="shared" si="3"/>
        <v>P10S1A47</v>
      </c>
      <c r="P29" s="30">
        <v>2943</v>
      </c>
      <c r="Q29" s="30">
        <v>10</v>
      </c>
      <c r="R29" s="30">
        <v>1</v>
      </c>
      <c r="S29" s="30">
        <v>47</v>
      </c>
      <c r="T29" s="31">
        <v>4325</v>
      </c>
      <c r="V29" s="30" t="str">
        <f t="shared" si="4"/>
        <v>P10S1A47</v>
      </c>
      <c r="W29" s="30">
        <v>2223</v>
      </c>
      <c r="X29" s="30">
        <v>10</v>
      </c>
      <c r="Y29" s="30">
        <v>1</v>
      </c>
      <c r="Z29" s="30">
        <v>47</v>
      </c>
      <c r="AA29" s="31">
        <v>17782</v>
      </c>
      <c r="AC29" s="144" t="str">
        <f t="shared" si="5"/>
        <v>P10S1A47</v>
      </c>
      <c r="AD29" s="144"/>
      <c r="AE29" s="144">
        <v>10</v>
      </c>
      <c r="AF29" s="144">
        <v>1</v>
      </c>
      <c r="AG29" s="144">
        <v>47</v>
      </c>
      <c r="AH29" s="143">
        <v>1375</v>
      </c>
      <c r="AJ29" s="142" t="str">
        <f t="shared" si="6"/>
        <v>P10S1A28</v>
      </c>
      <c r="AK29" s="142"/>
      <c r="AL29" s="142">
        <v>10</v>
      </c>
      <c r="AM29" s="142">
        <v>1</v>
      </c>
      <c r="AN29" s="142">
        <v>28</v>
      </c>
      <c r="AO29" s="143">
        <v>1239</v>
      </c>
      <c r="AQ29" s="163" t="str">
        <f t="shared" si="0"/>
        <v>P10S1A47</v>
      </c>
      <c r="AR29" s="163"/>
      <c r="AS29" s="165">
        <v>10</v>
      </c>
      <c r="AT29" s="165">
        <v>1</v>
      </c>
      <c r="AU29" s="163">
        <v>47</v>
      </c>
      <c r="AV29" s="164">
        <v>577</v>
      </c>
    </row>
    <row r="30" spans="1:48">
      <c r="A30" s="30" t="str">
        <f t="shared" si="1"/>
        <v>P01S1A28</v>
      </c>
      <c r="B30" s="30"/>
      <c r="C30" s="30">
        <v>1</v>
      </c>
      <c r="D30" s="30">
        <v>1</v>
      </c>
      <c r="E30" s="30">
        <v>28</v>
      </c>
      <c r="F30" s="31">
        <v>1758</v>
      </c>
      <c r="H30" s="30" t="str">
        <f t="shared" si="2"/>
        <v>P15S1A28</v>
      </c>
      <c r="I30" s="30"/>
      <c r="J30" s="30">
        <v>15</v>
      </c>
      <c r="K30" s="30">
        <v>1</v>
      </c>
      <c r="L30" s="30">
        <v>28</v>
      </c>
      <c r="M30" s="31">
        <v>2220</v>
      </c>
      <c r="O30" s="30" t="str">
        <f t="shared" si="3"/>
        <v>P10S1A48</v>
      </c>
      <c r="P30" s="30">
        <v>2943</v>
      </c>
      <c r="Q30" s="30">
        <v>10</v>
      </c>
      <c r="R30" s="30">
        <v>1</v>
      </c>
      <c r="S30" s="30">
        <v>48</v>
      </c>
      <c r="T30" s="31">
        <v>3958.9999999999995</v>
      </c>
      <c r="V30" s="30" t="str">
        <f t="shared" si="4"/>
        <v>P10S1A48</v>
      </c>
      <c r="W30" s="30">
        <v>2223</v>
      </c>
      <c r="X30" s="30">
        <v>10</v>
      </c>
      <c r="Y30" s="30">
        <v>1</v>
      </c>
      <c r="Z30" s="30">
        <v>48</v>
      </c>
      <c r="AA30" s="31">
        <v>17539</v>
      </c>
      <c r="AC30" s="144" t="str">
        <f t="shared" si="5"/>
        <v>P10S1A48</v>
      </c>
      <c r="AD30" s="144"/>
      <c r="AE30" s="142">
        <v>10</v>
      </c>
      <c r="AF30" s="142">
        <v>1</v>
      </c>
      <c r="AG30" s="142">
        <v>48</v>
      </c>
      <c r="AH30" s="143">
        <v>1377</v>
      </c>
      <c r="AJ30" s="142" t="str">
        <f t="shared" si="6"/>
        <v>P10S1A29</v>
      </c>
      <c r="AK30" s="142"/>
      <c r="AL30" s="142">
        <v>10</v>
      </c>
      <c r="AM30" s="142">
        <v>1</v>
      </c>
      <c r="AN30" s="142">
        <v>29</v>
      </c>
      <c r="AO30" s="143">
        <v>1250</v>
      </c>
      <c r="AQ30" s="163" t="str">
        <f t="shared" si="0"/>
        <v>P10S1A48</v>
      </c>
      <c r="AR30" s="163"/>
      <c r="AS30" s="163">
        <v>10</v>
      </c>
      <c r="AT30" s="163">
        <v>1</v>
      </c>
      <c r="AU30" s="165">
        <v>48</v>
      </c>
      <c r="AV30" s="164">
        <v>604</v>
      </c>
    </row>
    <row r="31" spans="1:48">
      <c r="A31" s="30" t="str">
        <f t="shared" si="1"/>
        <v>P01S1A29</v>
      </c>
      <c r="B31" s="30"/>
      <c r="C31" s="30">
        <v>1</v>
      </c>
      <c r="D31" s="30">
        <v>1</v>
      </c>
      <c r="E31" s="30">
        <v>29</v>
      </c>
      <c r="F31" s="31">
        <v>1849</v>
      </c>
      <c r="H31" s="30" t="str">
        <f t="shared" si="2"/>
        <v>P15S1A29</v>
      </c>
      <c r="I31" s="30"/>
      <c r="J31" s="30">
        <v>15</v>
      </c>
      <c r="K31" s="30">
        <v>1</v>
      </c>
      <c r="L31" s="30">
        <v>29</v>
      </c>
      <c r="M31" s="31">
        <v>2253</v>
      </c>
      <c r="O31" s="30" t="str">
        <f t="shared" si="3"/>
        <v>P10S1A49</v>
      </c>
      <c r="P31" s="30">
        <v>2943</v>
      </c>
      <c r="Q31" s="30">
        <v>10</v>
      </c>
      <c r="R31" s="30">
        <v>1</v>
      </c>
      <c r="S31" s="30">
        <v>49</v>
      </c>
      <c r="T31" s="31">
        <v>3600</v>
      </c>
      <c r="V31" s="30" t="str">
        <f t="shared" si="4"/>
        <v>P10S1A49</v>
      </c>
      <c r="W31" s="30">
        <v>2223</v>
      </c>
      <c r="X31" s="30">
        <v>10</v>
      </c>
      <c r="Y31" s="30">
        <v>1</v>
      </c>
      <c r="Z31" s="30">
        <v>49</v>
      </c>
      <c r="AA31" s="31">
        <v>17299</v>
      </c>
      <c r="AC31" s="144" t="str">
        <f t="shared" si="5"/>
        <v>P10S1A49</v>
      </c>
      <c r="AD31" s="144"/>
      <c r="AE31" s="144">
        <v>10</v>
      </c>
      <c r="AF31" s="144">
        <v>1</v>
      </c>
      <c r="AG31" s="144">
        <v>49</v>
      </c>
      <c r="AH31" s="143">
        <v>1378</v>
      </c>
      <c r="AJ31" s="142" t="str">
        <f t="shared" si="6"/>
        <v>P10S1A30</v>
      </c>
      <c r="AK31" s="142"/>
      <c r="AL31" s="142">
        <v>10</v>
      </c>
      <c r="AM31" s="142">
        <v>1</v>
      </c>
      <c r="AN31" s="142">
        <v>30</v>
      </c>
      <c r="AO31" s="143">
        <v>1263</v>
      </c>
      <c r="AQ31" s="163" t="str">
        <f t="shared" si="0"/>
        <v>P10S1A49</v>
      </c>
      <c r="AR31" s="163"/>
      <c r="AS31" s="165">
        <v>10</v>
      </c>
      <c r="AT31" s="165">
        <v>1</v>
      </c>
      <c r="AU31" s="163">
        <v>49</v>
      </c>
      <c r="AV31" s="164">
        <v>632</v>
      </c>
    </row>
    <row r="32" spans="1:48">
      <c r="A32" s="30" t="str">
        <f t="shared" si="1"/>
        <v>P01S1A30</v>
      </c>
      <c r="B32" s="30"/>
      <c r="C32" s="30">
        <v>1</v>
      </c>
      <c r="D32" s="30">
        <v>1</v>
      </c>
      <c r="E32" s="30">
        <v>30</v>
      </c>
      <c r="F32" s="31">
        <v>2015</v>
      </c>
      <c r="H32" s="30" t="str">
        <f t="shared" si="2"/>
        <v>P15S1A30</v>
      </c>
      <c r="I32" s="30"/>
      <c r="J32" s="30">
        <v>15</v>
      </c>
      <c r="K32" s="30">
        <v>1</v>
      </c>
      <c r="L32" s="30">
        <v>30</v>
      </c>
      <c r="M32" s="31">
        <v>2285</v>
      </c>
      <c r="O32" s="30" t="str">
        <f t="shared" si="3"/>
        <v>P10S1A50</v>
      </c>
      <c r="P32" s="30">
        <v>2943</v>
      </c>
      <c r="Q32" s="30">
        <v>10</v>
      </c>
      <c r="R32" s="30">
        <v>1</v>
      </c>
      <c r="S32" s="30">
        <v>50</v>
      </c>
      <c r="T32" s="31">
        <v>3250</v>
      </c>
      <c r="V32" s="30" t="str">
        <f t="shared" si="4"/>
        <v>P10S1A50</v>
      </c>
      <c r="W32" s="30">
        <v>2223</v>
      </c>
      <c r="X32" s="30">
        <v>10</v>
      </c>
      <c r="Y32" s="30">
        <v>1</v>
      </c>
      <c r="Z32" s="30">
        <v>50</v>
      </c>
      <c r="AA32" s="31">
        <v>17062</v>
      </c>
      <c r="AC32" s="144" t="str">
        <f t="shared" si="5"/>
        <v>P10S1A50</v>
      </c>
      <c r="AD32" s="144"/>
      <c r="AE32" s="142">
        <v>10</v>
      </c>
      <c r="AF32" s="142">
        <v>1</v>
      </c>
      <c r="AG32" s="142">
        <v>50</v>
      </c>
      <c r="AH32" s="143">
        <v>1379</v>
      </c>
      <c r="AJ32" s="142" t="str">
        <f t="shared" si="6"/>
        <v>P10S1A31</v>
      </c>
      <c r="AK32" s="142"/>
      <c r="AL32" s="142">
        <v>10</v>
      </c>
      <c r="AM32" s="142">
        <v>1</v>
      </c>
      <c r="AN32" s="142">
        <v>31</v>
      </c>
      <c r="AO32" s="143">
        <v>1274</v>
      </c>
      <c r="AQ32" s="163" t="str">
        <f t="shared" si="0"/>
        <v>P10S1A50</v>
      </c>
      <c r="AR32" s="163"/>
      <c r="AS32" s="163">
        <v>10</v>
      </c>
      <c r="AT32" s="163">
        <v>1</v>
      </c>
      <c r="AU32" s="165">
        <v>50</v>
      </c>
      <c r="AV32" s="164">
        <v>661</v>
      </c>
    </row>
    <row r="33" spans="1:48">
      <c r="A33" s="30" t="str">
        <f t="shared" si="1"/>
        <v>P01S1A31</v>
      </c>
      <c r="B33" s="30"/>
      <c r="C33" s="30">
        <v>1</v>
      </c>
      <c r="D33" s="30">
        <v>1</v>
      </c>
      <c r="E33" s="30">
        <v>31</v>
      </c>
      <c r="F33" s="31">
        <v>2109</v>
      </c>
      <c r="H33" s="30" t="str">
        <f t="shared" si="2"/>
        <v>P15S1A31</v>
      </c>
      <c r="I33" s="30"/>
      <c r="J33" s="30">
        <v>15</v>
      </c>
      <c r="K33" s="30">
        <v>1</v>
      </c>
      <c r="L33" s="30">
        <v>31</v>
      </c>
      <c r="M33" s="31">
        <v>2324</v>
      </c>
      <c r="O33" s="30" t="str">
        <f t="shared" si="3"/>
        <v>P10S1A51</v>
      </c>
      <c r="P33" s="30">
        <v>2943</v>
      </c>
      <c r="Q33" s="30">
        <v>10</v>
      </c>
      <c r="R33" s="30">
        <v>1</v>
      </c>
      <c r="S33" s="30">
        <v>51</v>
      </c>
      <c r="T33" s="31">
        <v>2909</v>
      </c>
      <c r="V33" s="30" t="str">
        <f t="shared" si="4"/>
        <v>P10S1A51</v>
      </c>
      <c r="W33" s="30">
        <v>2223</v>
      </c>
      <c r="X33" s="30">
        <v>10</v>
      </c>
      <c r="Y33" s="30">
        <v>1</v>
      </c>
      <c r="Z33" s="30">
        <v>51</v>
      </c>
      <c r="AA33" s="31">
        <v>16831</v>
      </c>
      <c r="AC33" s="144" t="str">
        <f t="shared" si="5"/>
        <v>P10S1A51</v>
      </c>
      <c r="AD33" s="144"/>
      <c r="AE33" s="144">
        <v>10</v>
      </c>
      <c r="AF33" s="144">
        <v>1</v>
      </c>
      <c r="AG33" s="144">
        <v>51</v>
      </c>
      <c r="AH33" s="143">
        <v>1380</v>
      </c>
      <c r="AJ33" s="142" t="str">
        <f t="shared" si="6"/>
        <v>P10S1A32</v>
      </c>
      <c r="AK33" s="142"/>
      <c r="AL33" s="142">
        <v>10</v>
      </c>
      <c r="AM33" s="142">
        <v>1</v>
      </c>
      <c r="AN33" s="142">
        <v>32</v>
      </c>
      <c r="AO33" s="143">
        <v>1286</v>
      </c>
      <c r="AQ33" s="163" t="str">
        <f t="shared" si="0"/>
        <v>P10S1A51</v>
      </c>
      <c r="AR33" s="163"/>
      <c r="AS33" s="165">
        <v>10</v>
      </c>
      <c r="AT33" s="165">
        <v>1</v>
      </c>
      <c r="AU33" s="163">
        <v>51</v>
      </c>
      <c r="AV33" s="164">
        <v>687</v>
      </c>
    </row>
    <row r="34" spans="1:48">
      <c r="A34" s="30" t="str">
        <f t="shared" si="1"/>
        <v>P01S1A32</v>
      </c>
      <c r="B34" s="30"/>
      <c r="C34" s="30">
        <v>1</v>
      </c>
      <c r="D34" s="30">
        <v>1</v>
      </c>
      <c r="E34" s="30">
        <v>32</v>
      </c>
      <c r="F34" s="31">
        <v>2203</v>
      </c>
      <c r="H34" s="30" t="str">
        <f t="shared" si="2"/>
        <v>P15S1A32</v>
      </c>
      <c r="I34" s="30"/>
      <c r="J34" s="30">
        <v>15</v>
      </c>
      <c r="K34" s="30">
        <v>1</v>
      </c>
      <c r="L34" s="30">
        <v>32</v>
      </c>
      <c r="M34" s="31">
        <v>2364</v>
      </c>
      <c r="O34" s="30" t="str">
        <f t="shared" si="3"/>
        <v>P10S1A52</v>
      </c>
      <c r="P34" s="30">
        <v>2943</v>
      </c>
      <c r="Q34" s="30">
        <v>10</v>
      </c>
      <c r="R34" s="30">
        <v>1</v>
      </c>
      <c r="S34" s="30">
        <v>52</v>
      </c>
      <c r="T34" s="31">
        <v>2580</v>
      </c>
      <c r="V34" s="30" t="str">
        <f t="shared" si="4"/>
        <v>P10S1A52</v>
      </c>
      <c r="W34" s="30">
        <v>2223</v>
      </c>
      <c r="X34" s="30">
        <v>10</v>
      </c>
      <c r="Y34" s="30">
        <v>1</v>
      </c>
      <c r="Z34" s="30">
        <v>52</v>
      </c>
      <c r="AA34" s="31">
        <v>16606</v>
      </c>
      <c r="AC34" s="144" t="str">
        <f t="shared" si="5"/>
        <v>P10S1A52</v>
      </c>
      <c r="AD34" s="144"/>
      <c r="AE34" s="142">
        <v>10</v>
      </c>
      <c r="AF34" s="142">
        <v>1</v>
      </c>
      <c r="AG34" s="142">
        <v>52</v>
      </c>
      <c r="AH34" s="143">
        <v>1380</v>
      </c>
      <c r="AJ34" s="142" t="str">
        <f t="shared" si="6"/>
        <v>P10S1A33</v>
      </c>
      <c r="AK34" s="142"/>
      <c r="AL34" s="142">
        <v>10</v>
      </c>
      <c r="AM34" s="142">
        <v>1</v>
      </c>
      <c r="AN34" s="142">
        <v>33</v>
      </c>
      <c r="AO34" s="143">
        <v>1298</v>
      </c>
      <c r="AQ34" s="163" t="str">
        <f t="shared" ref="AQ34:AQ65" si="7">"P"&amp;REPT("0",2-LEN(AS34))&amp;AS34&amp;"S"&amp;AT34&amp;"A"&amp;REPT("0",2-LEN(AU34))&amp;AU34</f>
        <v>P10S1A52</v>
      </c>
      <c r="AR34" s="163"/>
      <c r="AS34" s="163">
        <v>10</v>
      </c>
      <c r="AT34" s="163">
        <v>1</v>
      </c>
      <c r="AU34" s="165">
        <v>52</v>
      </c>
      <c r="AV34" s="164">
        <v>715</v>
      </c>
    </row>
    <row r="35" spans="1:48">
      <c r="A35" s="30" t="str">
        <f t="shared" si="1"/>
        <v>P01S1A33</v>
      </c>
      <c r="B35" s="30"/>
      <c r="C35" s="30">
        <v>1</v>
      </c>
      <c r="D35" s="30">
        <v>1</v>
      </c>
      <c r="E35" s="30">
        <v>33</v>
      </c>
      <c r="F35" s="31">
        <v>2310</v>
      </c>
      <c r="H35" s="30" t="str">
        <f t="shared" si="2"/>
        <v>P15S1A33</v>
      </c>
      <c r="I35" s="30"/>
      <c r="J35" s="30">
        <v>15</v>
      </c>
      <c r="K35" s="30">
        <v>1</v>
      </c>
      <c r="L35" s="30">
        <v>33</v>
      </c>
      <c r="M35" s="31">
        <v>2405</v>
      </c>
      <c r="O35" s="30" t="str">
        <f t="shared" si="3"/>
        <v>P10S1A53</v>
      </c>
      <c r="P35" s="30">
        <v>2943</v>
      </c>
      <c r="Q35" s="30">
        <v>10</v>
      </c>
      <c r="R35" s="30">
        <v>1</v>
      </c>
      <c r="S35" s="30">
        <v>53</v>
      </c>
      <c r="T35" s="31">
        <v>2265</v>
      </c>
      <c r="V35" s="30" t="str">
        <f t="shared" si="4"/>
        <v>P10S1A53</v>
      </c>
      <c r="W35" s="30">
        <v>2223</v>
      </c>
      <c r="X35" s="30">
        <v>10</v>
      </c>
      <c r="Y35" s="30">
        <v>1</v>
      </c>
      <c r="Z35" s="30">
        <v>53</v>
      </c>
      <c r="AA35" s="31">
        <v>16388</v>
      </c>
      <c r="AC35" s="144" t="str">
        <f t="shared" si="5"/>
        <v>P10S1A53</v>
      </c>
      <c r="AD35" s="144"/>
      <c r="AE35" s="144">
        <v>10</v>
      </c>
      <c r="AF35" s="144">
        <v>1</v>
      </c>
      <c r="AG35" s="144">
        <v>53</v>
      </c>
      <c r="AH35" s="143">
        <v>1380</v>
      </c>
      <c r="AJ35" s="142" t="str">
        <f t="shared" si="6"/>
        <v>P10S1A34</v>
      </c>
      <c r="AK35" s="142"/>
      <c r="AL35" s="142">
        <v>10</v>
      </c>
      <c r="AM35" s="142">
        <v>1</v>
      </c>
      <c r="AN35" s="142">
        <v>34</v>
      </c>
      <c r="AO35" s="143">
        <v>1310</v>
      </c>
      <c r="AQ35" s="163" t="str">
        <f t="shared" si="7"/>
        <v>P10S1A53</v>
      </c>
      <c r="AR35" s="163"/>
      <c r="AS35" s="165">
        <v>10</v>
      </c>
      <c r="AT35" s="165">
        <v>1</v>
      </c>
      <c r="AU35" s="163">
        <v>53</v>
      </c>
      <c r="AV35" s="164">
        <v>743</v>
      </c>
    </row>
    <row r="36" spans="1:48">
      <c r="A36" s="30" t="str">
        <f t="shared" si="1"/>
        <v>P01S1A34</v>
      </c>
      <c r="B36" s="30"/>
      <c r="C36" s="30">
        <v>1</v>
      </c>
      <c r="D36" s="30">
        <v>1</v>
      </c>
      <c r="E36" s="30">
        <v>34</v>
      </c>
      <c r="F36" s="31">
        <v>2417</v>
      </c>
      <c r="H36" s="30" t="str">
        <f t="shared" si="2"/>
        <v>P15S1A34</v>
      </c>
      <c r="I36" s="30"/>
      <c r="J36" s="30">
        <v>15</v>
      </c>
      <c r="K36" s="30">
        <v>1</v>
      </c>
      <c r="L36" s="30">
        <v>34</v>
      </c>
      <c r="M36" s="31">
        <v>2447</v>
      </c>
      <c r="O36" s="30" t="str">
        <f t="shared" si="3"/>
        <v>P10S1A54</v>
      </c>
      <c r="P36" s="30">
        <v>2943</v>
      </c>
      <c r="Q36" s="30">
        <v>10</v>
      </c>
      <c r="R36" s="30">
        <v>1</v>
      </c>
      <c r="S36" s="30">
        <v>54</v>
      </c>
      <c r="T36" s="31">
        <v>1964</v>
      </c>
      <c r="V36" s="30" t="str">
        <f t="shared" si="4"/>
        <v>P10S1A54</v>
      </c>
      <c r="W36" s="30">
        <v>2223</v>
      </c>
      <c r="X36" s="30">
        <v>10</v>
      </c>
      <c r="Y36" s="30">
        <v>1</v>
      </c>
      <c r="Z36" s="30">
        <v>54</v>
      </c>
      <c r="AA36" s="31">
        <v>16177</v>
      </c>
      <c r="AC36" s="144" t="str">
        <f t="shared" si="5"/>
        <v>P10S1A54</v>
      </c>
      <c r="AD36" s="144"/>
      <c r="AE36" s="142">
        <v>10</v>
      </c>
      <c r="AF36" s="142">
        <v>1</v>
      </c>
      <c r="AG36" s="142">
        <v>54</v>
      </c>
      <c r="AH36" s="143">
        <v>1382</v>
      </c>
      <c r="AJ36" s="142" t="str">
        <f t="shared" si="6"/>
        <v>P10S1A35</v>
      </c>
      <c r="AK36" s="142"/>
      <c r="AL36" s="142">
        <v>10</v>
      </c>
      <c r="AM36" s="142">
        <v>1</v>
      </c>
      <c r="AN36" s="142">
        <v>35</v>
      </c>
      <c r="AO36" s="143">
        <v>1322</v>
      </c>
      <c r="AQ36" s="163" t="str">
        <f t="shared" si="7"/>
        <v>P10S1A54</v>
      </c>
      <c r="AR36" s="163"/>
      <c r="AS36" s="163">
        <v>10</v>
      </c>
      <c r="AT36" s="163">
        <v>1</v>
      </c>
      <c r="AU36" s="165">
        <v>54</v>
      </c>
      <c r="AV36" s="164">
        <v>772</v>
      </c>
    </row>
    <row r="37" spans="1:48">
      <c r="A37" s="30" t="str">
        <f t="shared" si="1"/>
        <v>P01S1A35</v>
      </c>
      <c r="B37" s="30"/>
      <c r="C37" s="30">
        <v>1</v>
      </c>
      <c r="D37" s="30">
        <v>1</v>
      </c>
      <c r="E37" s="30">
        <v>35</v>
      </c>
      <c r="F37" s="31">
        <v>2829</v>
      </c>
      <c r="H37" s="30" t="str">
        <f t="shared" si="2"/>
        <v>P15S1A35</v>
      </c>
      <c r="I37" s="30"/>
      <c r="J37" s="30">
        <v>15</v>
      </c>
      <c r="K37" s="30">
        <v>1</v>
      </c>
      <c r="L37" s="30">
        <v>35</v>
      </c>
      <c r="M37" s="31">
        <v>2491</v>
      </c>
      <c r="O37" s="30" t="str">
        <f t="shared" si="3"/>
        <v>P10S1A55</v>
      </c>
      <c r="P37" s="30">
        <v>2943</v>
      </c>
      <c r="Q37" s="30">
        <v>10</v>
      </c>
      <c r="R37" s="30">
        <v>1</v>
      </c>
      <c r="S37" s="30">
        <v>55</v>
      </c>
      <c r="T37" s="31">
        <v>1680</v>
      </c>
      <c r="V37" s="30" t="str">
        <f t="shared" si="4"/>
        <v>P10S1A55</v>
      </c>
      <c r="W37" s="30">
        <v>2223</v>
      </c>
      <c r="X37" s="30">
        <v>10</v>
      </c>
      <c r="Y37" s="30">
        <v>1</v>
      </c>
      <c r="Z37" s="30">
        <v>55</v>
      </c>
      <c r="AA37" s="31">
        <v>15975</v>
      </c>
      <c r="AC37" s="144" t="str">
        <f t="shared" si="5"/>
        <v>P10S1A55</v>
      </c>
      <c r="AD37" s="144"/>
      <c r="AE37" s="144">
        <v>10</v>
      </c>
      <c r="AF37" s="144">
        <v>1</v>
      </c>
      <c r="AG37" s="144">
        <v>55</v>
      </c>
      <c r="AH37" s="143">
        <v>1382</v>
      </c>
      <c r="AJ37" s="142" t="str">
        <f t="shared" si="6"/>
        <v>P10S1A36</v>
      </c>
      <c r="AK37" s="142"/>
      <c r="AL37" s="142">
        <v>10</v>
      </c>
      <c r="AM37" s="142">
        <v>1</v>
      </c>
      <c r="AN37" s="142">
        <v>36</v>
      </c>
      <c r="AO37" s="143">
        <v>1334</v>
      </c>
      <c r="AQ37" s="163" t="str">
        <f t="shared" si="7"/>
        <v>P10S1A55</v>
      </c>
      <c r="AR37" s="163"/>
      <c r="AS37" s="165">
        <v>10</v>
      </c>
      <c r="AT37" s="165">
        <v>1</v>
      </c>
      <c r="AU37" s="163">
        <v>55</v>
      </c>
      <c r="AV37" s="164">
        <v>804</v>
      </c>
    </row>
    <row r="38" spans="1:48">
      <c r="A38" s="30" t="str">
        <f t="shared" si="1"/>
        <v>P01S1A36</v>
      </c>
      <c r="B38" s="30"/>
      <c r="C38" s="30">
        <v>1</v>
      </c>
      <c r="D38" s="30">
        <v>1</v>
      </c>
      <c r="E38" s="30">
        <v>36</v>
      </c>
      <c r="F38" s="31">
        <v>2951</v>
      </c>
      <c r="H38" s="30" t="str">
        <f t="shared" si="2"/>
        <v>P15S1A36</v>
      </c>
      <c r="I38" s="30"/>
      <c r="J38" s="30">
        <v>15</v>
      </c>
      <c r="K38" s="30">
        <v>1</v>
      </c>
      <c r="L38" s="30">
        <v>36</v>
      </c>
      <c r="M38" s="31">
        <v>2541</v>
      </c>
      <c r="O38" s="30" t="str">
        <f t="shared" si="3"/>
        <v>P10S2A20</v>
      </c>
      <c r="P38" s="30">
        <v>2943</v>
      </c>
      <c r="Q38" s="30">
        <v>10</v>
      </c>
      <c r="R38" s="30">
        <v>2</v>
      </c>
      <c r="S38" s="30">
        <v>20</v>
      </c>
      <c r="T38" s="31">
        <v>5098</v>
      </c>
      <c r="V38" s="30" t="str">
        <f t="shared" si="4"/>
        <v>P10S2A20</v>
      </c>
      <c r="W38" s="30">
        <v>2223</v>
      </c>
      <c r="X38" s="30">
        <v>10</v>
      </c>
      <c r="Y38" s="30">
        <v>2</v>
      </c>
      <c r="Z38" s="30">
        <v>20</v>
      </c>
      <c r="AA38" s="31">
        <v>15948.000000000002</v>
      </c>
      <c r="AC38" s="144" t="str">
        <f t="shared" si="5"/>
        <v>P10S1A56</v>
      </c>
      <c r="AD38" s="144"/>
      <c r="AE38" s="142">
        <v>10</v>
      </c>
      <c r="AF38" s="142">
        <v>1</v>
      </c>
      <c r="AG38" s="142">
        <v>56</v>
      </c>
      <c r="AH38" s="143">
        <v>1382</v>
      </c>
      <c r="AJ38" s="142" t="str">
        <f t="shared" si="6"/>
        <v>P10S1A37</v>
      </c>
      <c r="AK38" s="142"/>
      <c r="AL38" s="142">
        <v>10</v>
      </c>
      <c r="AM38" s="142">
        <v>1</v>
      </c>
      <c r="AN38" s="142">
        <v>37</v>
      </c>
      <c r="AO38" s="143">
        <v>1345</v>
      </c>
      <c r="AQ38" s="163" t="str">
        <f t="shared" si="7"/>
        <v>P10S1A56</v>
      </c>
      <c r="AR38" s="163"/>
      <c r="AS38" s="163">
        <v>10</v>
      </c>
      <c r="AT38" s="163">
        <v>1</v>
      </c>
      <c r="AU38" s="165">
        <v>56</v>
      </c>
      <c r="AV38" s="164">
        <v>837</v>
      </c>
    </row>
    <row r="39" spans="1:48">
      <c r="A39" s="30" t="str">
        <f t="shared" si="1"/>
        <v>P01S1A37</v>
      </c>
      <c r="B39" s="30"/>
      <c r="C39" s="30">
        <v>1</v>
      </c>
      <c r="D39" s="30">
        <v>1</v>
      </c>
      <c r="E39" s="30">
        <v>37</v>
      </c>
      <c r="F39" s="31">
        <v>3072</v>
      </c>
      <c r="H39" s="30" t="str">
        <f t="shared" si="2"/>
        <v>P15S1A37</v>
      </c>
      <c r="I39" s="30"/>
      <c r="J39" s="30">
        <v>15</v>
      </c>
      <c r="K39" s="30">
        <v>1</v>
      </c>
      <c r="L39" s="30">
        <v>37</v>
      </c>
      <c r="M39" s="31">
        <v>2593</v>
      </c>
      <c r="O39" s="30" t="str">
        <f t="shared" si="3"/>
        <v>P10S2A21</v>
      </c>
      <c r="P39" s="30">
        <v>2943</v>
      </c>
      <c r="Q39" s="30">
        <v>10</v>
      </c>
      <c r="R39" s="30">
        <v>2</v>
      </c>
      <c r="S39" s="30">
        <v>21</v>
      </c>
      <c r="T39" s="31">
        <v>5046.0000000000009</v>
      </c>
      <c r="V39" s="30" t="str">
        <f t="shared" si="4"/>
        <v>P10S2A21</v>
      </c>
      <c r="W39" s="30">
        <v>2223</v>
      </c>
      <c r="X39" s="30">
        <v>10</v>
      </c>
      <c r="Y39" s="30">
        <v>2</v>
      </c>
      <c r="Z39" s="30">
        <v>21</v>
      </c>
      <c r="AA39" s="31">
        <v>15906.000000000002</v>
      </c>
      <c r="AC39" s="144" t="str">
        <f t="shared" si="5"/>
        <v>P10S1A57</v>
      </c>
      <c r="AD39" s="144"/>
      <c r="AE39" s="144">
        <v>10</v>
      </c>
      <c r="AF39" s="144">
        <v>1</v>
      </c>
      <c r="AG39" s="144">
        <v>57</v>
      </c>
      <c r="AH39" s="143">
        <v>1382</v>
      </c>
      <c r="AJ39" s="142" t="str">
        <f t="shared" si="6"/>
        <v>P10S1A38</v>
      </c>
      <c r="AK39" s="142"/>
      <c r="AL39" s="142">
        <v>10</v>
      </c>
      <c r="AM39" s="142">
        <v>1</v>
      </c>
      <c r="AN39" s="142">
        <v>38</v>
      </c>
      <c r="AO39" s="143">
        <v>1357</v>
      </c>
      <c r="AQ39" s="163" t="str">
        <f t="shared" si="7"/>
        <v>P10S1A57</v>
      </c>
      <c r="AR39" s="163"/>
      <c r="AS39" s="165">
        <v>10</v>
      </c>
      <c r="AT39" s="165">
        <v>1</v>
      </c>
      <c r="AU39" s="163">
        <v>57</v>
      </c>
      <c r="AV39" s="164">
        <v>872</v>
      </c>
    </row>
    <row r="40" spans="1:48">
      <c r="A40" s="30" t="str">
        <f t="shared" si="1"/>
        <v>P01S1A38</v>
      </c>
      <c r="B40" s="30"/>
      <c r="C40" s="30">
        <v>1</v>
      </c>
      <c r="D40" s="30">
        <v>1</v>
      </c>
      <c r="E40" s="30">
        <v>38</v>
      </c>
      <c r="F40" s="31">
        <v>3267</v>
      </c>
      <c r="H40" s="30" t="str">
        <f t="shared" si="2"/>
        <v>P15S1A38</v>
      </c>
      <c r="I40" s="30"/>
      <c r="J40" s="30">
        <v>15</v>
      </c>
      <c r="K40" s="30">
        <v>1</v>
      </c>
      <c r="L40" s="30">
        <v>38</v>
      </c>
      <c r="M40" s="31">
        <v>2647</v>
      </c>
      <c r="O40" s="30" t="str">
        <f t="shared" si="3"/>
        <v>P10S2A22</v>
      </c>
      <c r="P40" s="30">
        <v>2943</v>
      </c>
      <c r="Q40" s="30">
        <v>10</v>
      </c>
      <c r="R40" s="30">
        <v>2</v>
      </c>
      <c r="S40" s="30">
        <v>22</v>
      </c>
      <c r="T40" s="31">
        <v>4994</v>
      </c>
      <c r="V40" s="30" t="str">
        <f t="shared" si="4"/>
        <v>P10S2A22</v>
      </c>
      <c r="W40" s="30">
        <v>2223</v>
      </c>
      <c r="X40" s="30">
        <v>10</v>
      </c>
      <c r="Y40" s="30">
        <v>2</v>
      </c>
      <c r="Z40" s="30">
        <v>22</v>
      </c>
      <c r="AA40" s="31">
        <v>15864.000000000002</v>
      </c>
      <c r="AC40" s="144" t="str">
        <f t="shared" si="5"/>
        <v>P10S1A58</v>
      </c>
      <c r="AD40" s="144"/>
      <c r="AE40" s="142">
        <v>10</v>
      </c>
      <c r="AF40" s="142">
        <v>1</v>
      </c>
      <c r="AG40" s="142">
        <v>58</v>
      </c>
      <c r="AH40" s="143">
        <v>1382</v>
      </c>
      <c r="AJ40" s="142" t="str">
        <f t="shared" si="6"/>
        <v>P10S1A39</v>
      </c>
      <c r="AK40" s="142"/>
      <c r="AL40" s="142">
        <v>10</v>
      </c>
      <c r="AM40" s="142">
        <v>1</v>
      </c>
      <c r="AN40" s="142">
        <v>39</v>
      </c>
      <c r="AO40" s="143">
        <v>1369</v>
      </c>
      <c r="AQ40" s="163" t="str">
        <f t="shared" si="7"/>
        <v>P10S1A58</v>
      </c>
      <c r="AR40" s="163"/>
      <c r="AS40" s="163">
        <v>10</v>
      </c>
      <c r="AT40" s="163">
        <v>1</v>
      </c>
      <c r="AU40" s="165">
        <v>58</v>
      </c>
      <c r="AV40" s="164">
        <v>909</v>
      </c>
    </row>
    <row r="41" spans="1:48">
      <c r="A41" s="30" t="str">
        <f t="shared" si="1"/>
        <v>P01S1A39</v>
      </c>
      <c r="B41" s="30"/>
      <c r="C41" s="30">
        <v>1</v>
      </c>
      <c r="D41" s="30">
        <v>1</v>
      </c>
      <c r="E41" s="30">
        <v>39</v>
      </c>
      <c r="F41" s="31">
        <v>3462</v>
      </c>
      <c r="H41" s="30" t="str">
        <f t="shared" si="2"/>
        <v>P15S1A39</v>
      </c>
      <c r="I41" s="30"/>
      <c r="J41" s="30">
        <v>15</v>
      </c>
      <c r="K41" s="30">
        <v>1</v>
      </c>
      <c r="L41" s="30">
        <v>39</v>
      </c>
      <c r="M41" s="31">
        <v>2704</v>
      </c>
      <c r="O41" s="30" t="str">
        <f t="shared" si="3"/>
        <v>P10S2A23</v>
      </c>
      <c r="P41" s="30">
        <v>2943</v>
      </c>
      <c r="Q41" s="30">
        <v>10</v>
      </c>
      <c r="R41" s="30">
        <v>2</v>
      </c>
      <c r="S41" s="30">
        <v>23</v>
      </c>
      <c r="T41" s="31">
        <v>4941</v>
      </c>
      <c r="V41" s="30" t="str">
        <f t="shared" si="4"/>
        <v>P10S2A23</v>
      </c>
      <c r="W41" s="30">
        <v>2223</v>
      </c>
      <c r="X41" s="30">
        <v>10</v>
      </c>
      <c r="Y41" s="30">
        <v>2</v>
      </c>
      <c r="Z41" s="30">
        <v>23</v>
      </c>
      <c r="AA41" s="31">
        <v>15823</v>
      </c>
      <c r="AC41" s="144" t="str">
        <f t="shared" si="5"/>
        <v>P10S1A59</v>
      </c>
      <c r="AD41" s="144"/>
      <c r="AE41" s="144">
        <v>10</v>
      </c>
      <c r="AF41" s="144">
        <v>1</v>
      </c>
      <c r="AG41" s="144">
        <v>59</v>
      </c>
      <c r="AH41" s="143">
        <v>1382</v>
      </c>
      <c r="AJ41" s="142" t="str">
        <f t="shared" si="6"/>
        <v>P10S1A40</v>
      </c>
      <c r="AK41" s="142"/>
      <c r="AL41" s="142">
        <v>10</v>
      </c>
      <c r="AM41" s="142">
        <v>1</v>
      </c>
      <c r="AN41" s="142">
        <v>40</v>
      </c>
      <c r="AO41" s="143">
        <v>1370</v>
      </c>
      <c r="AQ41" s="163" t="str">
        <f t="shared" si="7"/>
        <v>P10S1A59</v>
      </c>
      <c r="AR41" s="163"/>
      <c r="AS41" s="165">
        <v>10</v>
      </c>
      <c r="AT41" s="165">
        <v>1</v>
      </c>
      <c r="AU41" s="163">
        <v>59</v>
      </c>
      <c r="AV41" s="164">
        <v>949</v>
      </c>
    </row>
    <row r="42" spans="1:48">
      <c r="A42" s="30" t="str">
        <f t="shared" si="1"/>
        <v>P01S1A40</v>
      </c>
      <c r="B42" s="30"/>
      <c r="C42" s="30">
        <v>1</v>
      </c>
      <c r="D42" s="30">
        <v>1</v>
      </c>
      <c r="E42" s="30">
        <v>40</v>
      </c>
      <c r="F42" s="31">
        <v>4100</v>
      </c>
      <c r="H42" s="30" t="str">
        <f t="shared" si="2"/>
        <v>P15S1A40</v>
      </c>
      <c r="I42" s="30"/>
      <c r="J42" s="30">
        <v>15</v>
      </c>
      <c r="K42" s="30">
        <v>1</v>
      </c>
      <c r="L42" s="30">
        <v>40</v>
      </c>
      <c r="M42" s="31">
        <v>2766</v>
      </c>
      <c r="O42" s="30" t="str">
        <f t="shared" si="3"/>
        <v>P10S2A24</v>
      </c>
      <c r="P42" s="30">
        <v>2943</v>
      </c>
      <c r="Q42" s="30">
        <v>10</v>
      </c>
      <c r="R42" s="30">
        <v>2</v>
      </c>
      <c r="S42" s="30">
        <v>24</v>
      </c>
      <c r="T42" s="31">
        <v>4885</v>
      </c>
      <c r="V42" s="30" t="str">
        <f t="shared" si="4"/>
        <v>P10S2A24</v>
      </c>
      <c r="W42" s="30">
        <v>2223</v>
      </c>
      <c r="X42" s="30">
        <v>10</v>
      </c>
      <c r="Y42" s="30">
        <v>2</v>
      </c>
      <c r="Z42" s="30">
        <v>24</v>
      </c>
      <c r="AA42" s="31">
        <v>15783</v>
      </c>
      <c r="AC42" s="144" t="str">
        <f t="shared" si="5"/>
        <v>P10S1A60</v>
      </c>
      <c r="AD42" s="144"/>
      <c r="AE42" s="142">
        <v>10</v>
      </c>
      <c r="AF42" s="142">
        <v>1</v>
      </c>
      <c r="AG42" s="142">
        <v>60</v>
      </c>
      <c r="AH42" s="143">
        <v>1382</v>
      </c>
      <c r="AJ42" s="142" t="str">
        <f t="shared" si="6"/>
        <v>P10S1A41</v>
      </c>
      <c r="AK42" s="142"/>
      <c r="AL42" s="142">
        <v>10</v>
      </c>
      <c r="AM42" s="142">
        <v>1</v>
      </c>
      <c r="AN42" s="142">
        <v>41</v>
      </c>
      <c r="AO42" s="143">
        <v>1370</v>
      </c>
      <c r="AQ42" s="163" t="str">
        <f t="shared" si="7"/>
        <v>P10S1A60</v>
      </c>
      <c r="AR42" s="163"/>
      <c r="AS42" s="163">
        <v>10</v>
      </c>
      <c r="AT42" s="163">
        <v>1</v>
      </c>
      <c r="AU42" s="165">
        <v>60</v>
      </c>
      <c r="AV42" s="164">
        <v>994</v>
      </c>
    </row>
    <row r="43" spans="1:48">
      <c r="A43" s="30" t="str">
        <f t="shared" si="1"/>
        <v>P01S1A41</v>
      </c>
      <c r="B43" s="30"/>
      <c r="C43" s="30">
        <v>1</v>
      </c>
      <c r="D43" s="30">
        <v>1</v>
      </c>
      <c r="E43" s="30">
        <v>41</v>
      </c>
      <c r="F43" s="31">
        <v>4313</v>
      </c>
      <c r="H43" s="30" t="str">
        <f t="shared" si="2"/>
        <v>P15S1A41</v>
      </c>
      <c r="I43" s="30"/>
      <c r="J43" s="30">
        <v>15</v>
      </c>
      <c r="K43" s="30">
        <v>1</v>
      </c>
      <c r="L43" s="30">
        <v>41</v>
      </c>
      <c r="M43" s="31">
        <v>2837</v>
      </c>
      <c r="O43" s="30" t="str">
        <f t="shared" si="3"/>
        <v>P10S2A25</v>
      </c>
      <c r="P43" s="30">
        <v>2943</v>
      </c>
      <c r="Q43" s="30">
        <v>10</v>
      </c>
      <c r="R43" s="30">
        <v>2</v>
      </c>
      <c r="S43" s="30">
        <v>25</v>
      </c>
      <c r="T43" s="31">
        <v>4825</v>
      </c>
      <c r="V43" s="30" t="str">
        <f t="shared" si="4"/>
        <v>P10S2A25</v>
      </c>
      <c r="W43" s="30">
        <v>2223</v>
      </c>
      <c r="X43" s="30">
        <v>10</v>
      </c>
      <c r="Y43" s="30">
        <v>2</v>
      </c>
      <c r="Z43" s="30">
        <v>25</v>
      </c>
      <c r="AA43" s="31">
        <v>15745.000000000002</v>
      </c>
      <c r="AC43" s="144" t="str">
        <f t="shared" si="5"/>
        <v>P10S1A61</v>
      </c>
      <c r="AD43" s="144"/>
      <c r="AE43" s="144">
        <v>10</v>
      </c>
      <c r="AF43" s="144">
        <v>1</v>
      </c>
      <c r="AG43" s="144">
        <v>61</v>
      </c>
      <c r="AH43" s="143">
        <v>1382</v>
      </c>
      <c r="AJ43" s="142" t="str">
        <f t="shared" si="6"/>
        <v>P10S1A42</v>
      </c>
      <c r="AK43" s="142"/>
      <c r="AL43" s="142">
        <v>10</v>
      </c>
      <c r="AM43" s="142">
        <v>1</v>
      </c>
      <c r="AN43" s="142">
        <v>42</v>
      </c>
      <c r="AO43" s="143">
        <v>1370</v>
      </c>
      <c r="AQ43" s="163" t="str">
        <f t="shared" si="7"/>
        <v>P10S1A61</v>
      </c>
      <c r="AR43" s="163"/>
      <c r="AS43" s="165">
        <v>10</v>
      </c>
      <c r="AT43" s="165">
        <v>1</v>
      </c>
      <c r="AU43" s="163">
        <v>61</v>
      </c>
      <c r="AV43" s="164">
        <v>1046</v>
      </c>
    </row>
    <row r="44" spans="1:48">
      <c r="A44" s="30" t="str">
        <f t="shared" si="1"/>
        <v>P01S1A42</v>
      </c>
      <c r="B44" s="30"/>
      <c r="C44" s="30">
        <v>1</v>
      </c>
      <c r="D44" s="30">
        <v>1</v>
      </c>
      <c r="E44" s="30">
        <v>42</v>
      </c>
      <c r="F44" s="31">
        <v>4526</v>
      </c>
      <c r="H44" s="30" t="str">
        <f t="shared" si="2"/>
        <v>P15S1A42</v>
      </c>
      <c r="I44" s="30"/>
      <c r="J44" s="30">
        <v>15</v>
      </c>
      <c r="K44" s="30">
        <v>1</v>
      </c>
      <c r="L44" s="30">
        <v>42</v>
      </c>
      <c r="M44" s="31">
        <v>2914</v>
      </c>
      <c r="O44" s="30" t="str">
        <f t="shared" si="3"/>
        <v>P10S2A26</v>
      </c>
      <c r="P44" s="30">
        <v>2943</v>
      </c>
      <c r="Q44" s="30">
        <v>10</v>
      </c>
      <c r="R44" s="30">
        <v>2</v>
      </c>
      <c r="S44" s="30">
        <v>26</v>
      </c>
      <c r="T44" s="31">
        <v>4761</v>
      </c>
      <c r="V44" s="30" t="str">
        <f t="shared" si="4"/>
        <v>P10S2A26</v>
      </c>
      <c r="W44" s="30">
        <v>2223</v>
      </c>
      <c r="X44" s="30">
        <v>10</v>
      </c>
      <c r="Y44" s="30">
        <v>2</v>
      </c>
      <c r="Z44" s="30">
        <v>26</v>
      </c>
      <c r="AA44" s="31">
        <v>15710.000000000002</v>
      </c>
      <c r="AC44" s="144" t="str">
        <f t="shared" si="5"/>
        <v>P10S1A62</v>
      </c>
      <c r="AD44" s="144"/>
      <c r="AE44" s="142">
        <v>10</v>
      </c>
      <c r="AF44" s="142">
        <v>1</v>
      </c>
      <c r="AG44" s="142">
        <v>62</v>
      </c>
      <c r="AH44" s="143">
        <v>1382</v>
      </c>
      <c r="AJ44" s="142" t="str">
        <f t="shared" si="6"/>
        <v>P10S1A43</v>
      </c>
      <c r="AK44" s="142"/>
      <c r="AL44" s="142">
        <v>10</v>
      </c>
      <c r="AM44" s="142">
        <v>1</v>
      </c>
      <c r="AN44" s="142">
        <v>43</v>
      </c>
      <c r="AO44" s="143">
        <v>1370</v>
      </c>
      <c r="AQ44" s="163" t="str">
        <f t="shared" si="7"/>
        <v>P10S1A62</v>
      </c>
      <c r="AR44" s="163"/>
      <c r="AS44" s="163">
        <v>10</v>
      </c>
      <c r="AT44" s="163">
        <v>1</v>
      </c>
      <c r="AU44" s="165">
        <v>62</v>
      </c>
      <c r="AV44" s="164">
        <v>1104</v>
      </c>
    </row>
    <row r="45" spans="1:48">
      <c r="A45" s="30" t="str">
        <f t="shared" si="1"/>
        <v>P01S1A43</v>
      </c>
      <c r="B45" s="30"/>
      <c r="C45" s="30">
        <v>1</v>
      </c>
      <c r="D45" s="30">
        <v>1</v>
      </c>
      <c r="E45" s="30">
        <v>43</v>
      </c>
      <c r="F45" s="31">
        <v>4772</v>
      </c>
      <c r="H45" s="30" t="str">
        <f t="shared" si="2"/>
        <v>P15S1A43</v>
      </c>
      <c r="I45" s="30"/>
      <c r="J45" s="30">
        <v>15</v>
      </c>
      <c r="K45" s="30">
        <v>1</v>
      </c>
      <c r="L45" s="30">
        <v>43</v>
      </c>
      <c r="M45" s="31">
        <v>2998</v>
      </c>
      <c r="O45" s="30" t="str">
        <f t="shared" si="3"/>
        <v>P10S2A27</v>
      </c>
      <c r="P45" s="30">
        <v>2943</v>
      </c>
      <c r="Q45" s="30">
        <v>10</v>
      </c>
      <c r="R45" s="30">
        <v>2</v>
      </c>
      <c r="S45" s="30">
        <v>27</v>
      </c>
      <c r="T45" s="31">
        <v>4691</v>
      </c>
      <c r="V45" s="30" t="str">
        <f t="shared" si="4"/>
        <v>P10S2A27</v>
      </c>
      <c r="W45" s="30">
        <v>2223</v>
      </c>
      <c r="X45" s="30">
        <v>10</v>
      </c>
      <c r="Y45" s="30">
        <v>2</v>
      </c>
      <c r="Z45" s="30">
        <v>27</v>
      </c>
      <c r="AA45" s="31">
        <v>15677.000000000002</v>
      </c>
      <c r="AC45" s="144" t="str">
        <f t="shared" si="5"/>
        <v>P10S1A63</v>
      </c>
      <c r="AD45" s="144"/>
      <c r="AE45" s="144">
        <v>10</v>
      </c>
      <c r="AF45" s="144">
        <v>1</v>
      </c>
      <c r="AG45" s="144">
        <v>63</v>
      </c>
      <c r="AH45" s="143">
        <v>1382</v>
      </c>
      <c r="AJ45" s="142" t="str">
        <f t="shared" si="6"/>
        <v>P10S1A44</v>
      </c>
      <c r="AK45" s="142"/>
      <c r="AL45" s="142">
        <v>10</v>
      </c>
      <c r="AM45" s="142">
        <v>1</v>
      </c>
      <c r="AN45" s="142">
        <v>44</v>
      </c>
      <c r="AO45" s="143">
        <v>1373</v>
      </c>
      <c r="AQ45" s="163" t="str">
        <f t="shared" si="7"/>
        <v>P10S1A63</v>
      </c>
      <c r="AR45" s="163"/>
      <c r="AS45" s="165">
        <v>10</v>
      </c>
      <c r="AT45" s="165">
        <v>1</v>
      </c>
      <c r="AU45" s="163">
        <v>63</v>
      </c>
      <c r="AV45" s="164">
        <v>1167</v>
      </c>
    </row>
    <row r="46" spans="1:48">
      <c r="A46" s="30" t="str">
        <f t="shared" si="1"/>
        <v>P01S1A44</v>
      </c>
      <c r="B46" s="30"/>
      <c r="C46" s="30">
        <v>1</v>
      </c>
      <c r="D46" s="30">
        <v>1</v>
      </c>
      <c r="E46" s="30">
        <v>44</v>
      </c>
      <c r="F46" s="31">
        <v>5019</v>
      </c>
      <c r="H46" s="30" t="str">
        <f t="shared" si="2"/>
        <v>P15S1A44</v>
      </c>
      <c r="I46" s="30"/>
      <c r="J46" s="30">
        <v>15</v>
      </c>
      <c r="K46" s="30">
        <v>1</v>
      </c>
      <c r="L46" s="30">
        <v>44</v>
      </c>
      <c r="M46" s="31">
        <v>3089</v>
      </c>
      <c r="O46" s="30" t="str">
        <f t="shared" si="3"/>
        <v>P10S2A28</v>
      </c>
      <c r="P46" s="30">
        <v>2943</v>
      </c>
      <c r="Q46" s="30">
        <v>10</v>
      </c>
      <c r="R46" s="30">
        <v>2</v>
      </c>
      <c r="S46" s="30">
        <v>28</v>
      </c>
      <c r="T46" s="31">
        <v>4615</v>
      </c>
      <c r="V46" s="30" t="str">
        <f t="shared" si="4"/>
        <v>P10S2A28</v>
      </c>
      <c r="W46" s="30">
        <v>2223</v>
      </c>
      <c r="X46" s="30">
        <v>10</v>
      </c>
      <c r="Y46" s="30">
        <v>2</v>
      </c>
      <c r="Z46" s="30">
        <v>28</v>
      </c>
      <c r="AA46" s="31">
        <v>15648.000000000002</v>
      </c>
      <c r="AC46" s="144" t="str">
        <f t="shared" si="5"/>
        <v>P10S1A64</v>
      </c>
      <c r="AD46" s="144"/>
      <c r="AE46" s="142">
        <v>10</v>
      </c>
      <c r="AF46" s="142">
        <v>1</v>
      </c>
      <c r="AG46" s="142">
        <v>64</v>
      </c>
      <c r="AH46" s="143">
        <v>1382</v>
      </c>
      <c r="AJ46" s="142" t="str">
        <f t="shared" si="6"/>
        <v>P10S1A45</v>
      </c>
      <c r="AK46" s="142"/>
      <c r="AL46" s="142">
        <v>10</v>
      </c>
      <c r="AM46" s="142">
        <v>1</v>
      </c>
      <c r="AN46" s="142">
        <v>45</v>
      </c>
      <c r="AO46" s="143">
        <v>1374</v>
      </c>
      <c r="AQ46" s="163" t="str">
        <f t="shared" si="7"/>
        <v>P10S1A64</v>
      </c>
      <c r="AR46" s="163"/>
      <c r="AS46" s="163">
        <v>10</v>
      </c>
      <c r="AT46" s="163">
        <v>1</v>
      </c>
      <c r="AU46" s="165">
        <v>64</v>
      </c>
      <c r="AV46" s="164">
        <v>1236</v>
      </c>
    </row>
    <row r="47" spans="1:48">
      <c r="A47" s="30" t="str">
        <f t="shared" si="1"/>
        <v>P01S1A45</v>
      </c>
      <c r="B47" s="30"/>
      <c r="C47" s="30">
        <v>1</v>
      </c>
      <c r="D47" s="30">
        <v>1</v>
      </c>
      <c r="E47" s="30">
        <v>45</v>
      </c>
      <c r="F47" s="31">
        <v>5514</v>
      </c>
      <c r="H47" s="30" t="str">
        <f t="shared" si="2"/>
        <v>P15S1A45</v>
      </c>
      <c r="I47" s="30"/>
      <c r="J47" s="30">
        <v>15</v>
      </c>
      <c r="K47" s="30">
        <v>1</v>
      </c>
      <c r="L47" s="30">
        <v>45</v>
      </c>
      <c r="M47" s="31">
        <v>3187</v>
      </c>
      <c r="O47" s="30" t="str">
        <f t="shared" si="3"/>
        <v>P10S2A29</v>
      </c>
      <c r="P47" s="30">
        <v>2943</v>
      </c>
      <c r="Q47" s="30">
        <v>10</v>
      </c>
      <c r="R47" s="30">
        <v>2</v>
      </c>
      <c r="S47" s="30">
        <v>29</v>
      </c>
      <c r="T47" s="31">
        <v>4532</v>
      </c>
      <c r="V47" s="30" t="str">
        <f t="shared" si="4"/>
        <v>P10S2A29</v>
      </c>
      <c r="W47" s="30">
        <v>2223</v>
      </c>
      <c r="X47" s="30">
        <v>10</v>
      </c>
      <c r="Y47" s="30">
        <v>2</v>
      </c>
      <c r="Z47" s="30">
        <v>29</v>
      </c>
      <c r="AA47" s="31">
        <v>15624.000000000002</v>
      </c>
      <c r="AC47" s="144" t="str">
        <f t="shared" si="5"/>
        <v>P10S1A65</v>
      </c>
      <c r="AD47" s="144"/>
      <c r="AE47" s="144">
        <v>10</v>
      </c>
      <c r="AF47" s="144">
        <v>1</v>
      </c>
      <c r="AG47" s="144">
        <v>65</v>
      </c>
      <c r="AH47" s="143">
        <v>1383</v>
      </c>
      <c r="AJ47" s="142" t="str">
        <f t="shared" si="6"/>
        <v>P10S1A46</v>
      </c>
      <c r="AK47" s="142"/>
      <c r="AL47" s="142">
        <v>10</v>
      </c>
      <c r="AM47" s="142">
        <v>1</v>
      </c>
      <c r="AN47" s="142">
        <v>46</v>
      </c>
      <c r="AO47" s="143">
        <v>1375</v>
      </c>
      <c r="AQ47" s="163" t="str">
        <f t="shared" si="7"/>
        <v>P10S1A65</v>
      </c>
      <c r="AR47" s="163"/>
      <c r="AS47" s="165">
        <v>10</v>
      </c>
      <c r="AT47" s="165">
        <v>1</v>
      </c>
      <c r="AU47" s="163">
        <v>65</v>
      </c>
      <c r="AV47" s="164">
        <v>1311</v>
      </c>
    </row>
    <row r="48" spans="1:48">
      <c r="A48" s="30" t="str">
        <f t="shared" si="1"/>
        <v>P01S1A46</v>
      </c>
      <c r="B48" s="30"/>
      <c r="C48" s="30">
        <v>1</v>
      </c>
      <c r="D48" s="30">
        <v>1</v>
      </c>
      <c r="E48" s="30">
        <v>46</v>
      </c>
      <c r="F48" s="31">
        <v>5770</v>
      </c>
      <c r="H48" s="30" t="str">
        <f t="shared" si="2"/>
        <v>P15S1A46</v>
      </c>
      <c r="I48" s="30"/>
      <c r="J48" s="30">
        <v>15</v>
      </c>
      <c r="K48" s="30">
        <v>1</v>
      </c>
      <c r="L48" s="30">
        <v>46</v>
      </c>
      <c r="M48" s="31">
        <v>3292</v>
      </c>
      <c r="O48" s="30" t="str">
        <f t="shared" si="3"/>
        <v>P10S2A30</v>
      </c>
      <c r="P48" s="30">
        <v>2943</v>
      </c>
      <c r="Q48" s="30">
        <v>10</v>
      </c>
      <c r="R48" s="30">
        <v>2</v>
      </c>
      <c r="S48" s="30">
        <v>30</v>
      </c>
      <c r="T48" s="31">
        <v>4442</v>
      </c>
      <c r="V48" s="30" t="str">
        <f t="shared" si="4"/>
        <v>P10S2A30</v>
      </c>
      <c r="W48" s="30">
        <v>2223</v>
      </c>
      <c r="X48" s="30">
        <v>10</v>
      </c>
      <c r="Y48" s="30">
        <v>2</v>
      </c>
      <c r="Z48" s="30">
        <v>30</v>
      </c>
      <c r="AA48" s="31">
        <v>15604.000000000002</v>
      </c>
      <c r="AC48" s="144" t="str">
        <f t="shared" si="5"/>
        <v>P10S2A20</v>
      </c>
      <c r="AD48" s="144"/>
      <c r="AE48" s="142">
        <v>10</v>
      </c>
      <c r="AF48" s="142">
        <v>2</v>
      </c>
      <c r="AG48" s="142">
        <v>20</v>
      </c>
      <c r="AH48" s="143">
        <v>1321</v>
      </c>
      <c r="AJ48" s="142" t="str">
        <f t="shared" si="6"/>
        <v>P10S1A47</v>
      </c>
      <c r="AK48" s="142"/>
      <c r="AL48" s="142">
        <v>10</v>
      </c>
      <c r="AM48" s="142">
        <v>1</v>
      </c>
      <c r="AN48" s="142">
        <v>47</v>
      </c>
      <c r="AO48" s="143">
        <v>1375</v>
      </c>
      <c r="AQ48" s="163" t="str">
        <f t="shared" si="7"/>
        <v>P10S2A20</v>
      </c>
      <c r="AR48" s="163"/>
      <c r="AS48" s="163">
        <v>10</v>
      </c>
      <c r="AT48" s="163">
        <v>2</v>
      </c>
      <c r="AU48" s="165">
        <v>20</v>
      </c>
      <c r="AV48" s="164">
        <v>152</v>
      </c>
    </row>
    <row r="49" spans="1:48">
      <c r="A49" s="30" t="str">
        <f t="shared" si="1"/>
        <v>P01S1A47</v>
      </c>
      <c r="B49" s="30"/>
      <c r="C49" s="30">
        <v>1</v>
      </c>
      <c r="D49" s="30">
        <v>1</v>
      </c>
      <c r="E49" s="30">
        <v>47</v>
      </c>
      <c r="F49" s="31">
        <v>6025</v>
      </c>
      <c r="H49" s="30" t="str">
        <f t="shared" si="2"/>
        <v>P15S1A47</v>
      </c>
      <c r="I49" s="30"/>
      <c r="J49" s="30">
        <v>15</v>
      </c>
      <c r="K49" s="30">
        <v>1</v>
      </c>
      <c r="L49" s="30">
        <v>47</v>
      </c>
      <c r="M49" s="31">
        <v>3404</v>
      </c>
      <c r="O49" s="30" t="str">
        <f t="shared" si="3"/>
        <v>P10S2A31</v>
      </c>
      <c r="P49" s="30">
        <v>2943</v>
      </c>
      <c r="Q49" s="30">
        <v>10</v>
      </c>
      <c r="R49" s="30">
        <v>2</v>
      </c>
      <c r="S49" s="30">
        <v>31</v>
      </c>
      <c r="T49" s="31">
        <v>4346</v>
      </c>
      <c r="V49" s="30" t="str">
        <f t="shared" si="4"/>
        <v>P10S2A31</v>
      </c>
      <c r="W49" s="30">
        <v>2223</v>
      </c>
      <c r="X49" s="30">
        <v>10</v>
      </c>
      <c r="Y49" s="30">
        <v>2</v>
      </c>
      <c r="Z49" s="30">
        <v>31</v>
      </c>
      <c r="AA49" s="31">
        <v>15589.000000000002</v>
      </c>
      <c r="AC49" s="144" t="str">
        <f t="shared" si="5"/>
        <v>P10S2A21</v>
      </c>
      <c r="AD49" s="144"/>
      <c r="AE49" s="144">
        <v>10</v>
      </c>
      <c r="AF49" s="144">
        <v>2</v>
      </c>
      <c r="AG49" s="144">
        <v>21</v>
      </c>
      <c r="AH49" s="143">
        <v>1334</v>
      </c>
      <c r="AJ49" s="142" t="str">
        <f t="shared" si="6"/>
        <v>P10S1A48</v>
      </c>
      <c r="AK49" s="142"/>
      <c r="AL49" s="142">
        <v>10</v>
      </c>
      <c r="AM49" s="142">
        <v>1</v>
      </c>
      <c r="AN49" s="142">
        <v>48</v>
      </c>
      <c r="AO49" s="143">
        <v>1377</v>
      </c>
      <c r="AQ49" s="163" t="str">
        <f t="shared" si="7"/>
        <v>P10S2A21</v>
      </c>
      <c r="AR49" s="163"/>
      <c r="AS49" s="165">
        <v>10</v>
      </c>
      <c r="AT49" s="163">
        <v>2</v>
      </c>
      <c r="AU49" s="163">
        <v>21</v>
      </c>
      <c r="AV49" s="164">
        <v>162</v>
      </c>
    </row>
    <row r="50" spans="1:48">
      <c r="A50" s="30" t="str">
        <f t="shared" si="1"/>
        <v>P01S1A48</v>
      </c>
      <c r="B50" s="30"/>
      <c r="C50" s="30">
        <v>1</v>
      </c>
      <c r="D50" s="30">
        <v>1</v>
      </c>
      <c r="E50" s="30">
        <v>48</v>
      </c>
      <c r="F50" s="31">
        <v>6380</v>
      </c>
      <c r="H50" s="30" t="str">
        <f t="shared" si="2"/>
        <v>P15S1A48</v>
      </c>
      <c r="I50" s="30"/>
      <c r="J50" s="30">
        <v>15</v>
      </c>
      <c r="K50" s="30">
        <v>1</v>
      </c>
      <c r="L50" s="30">
        <v>48</v>
      </c>
      <c r="M50" s="31">
        <v>3523</v>
      </c>
      <c r="O50" s="30" t="str">
        <f t="shared" si="3"/>
        <v>P10S2A32</v>
      </c>
      <c r="P50" s="30">
        <v>2943</v>
      </c>
      <c r="Q50" s="30">
        <v>10</v>
      </c>
      <c r="R50" s="30">
        <v>2</v>
      </c>
      <c r="S50" s="30">
        <v>32</v>
      </c>
      <c r="T50" s="31">
        <v>4242</v>
      </c>
      <c r="V50" s="30" t="str">
        <f t="shared" si="4"/>
        <v>P10S2A32</v>
      </c>
      <c r="W50" s="30">
        <v>2223</v>
      </c>
      <c r="X50" s="30">
        <v>10</v>
      </c>
      <c r="Y50" s="30">
        <v>2</v>
      </c>
      <c r="Z50" s="30">
        <v>32</v>
      </c>
      <c r="AA50" s="31">
        <v>15581</v>
      </c>
      <c r="AC50" s="144" t="str">
        <f t="shared" si="5"/>
        <v>P10S2A22</v>
      </c>
      <c r="AD50" s="144"/>
      <c r="AE50" s="142">
        <v>10</v>
      </c>
      <c r="AF50" s="142">
        <v>2</v>
      </c>
      <c r="AG50" s="142">
        <v>22</v>
      </c>
      <c r="AH50" s="143">
        <v>1347</v>
      </c>
      <c r="AJ50" s="142" t="str">
        <f t="shared" si="6"/>
        <v>P10S1A49</v>
      </c>
      <c r="AK50" s="142"/>
      <c r="AL50" s="142">
        <v>10</v>
      </c>
      <c r="AM50" s="142">
        <v>1</v>
      </c>
      <c r="AN50" s="142">
        <v>49</v>
      </c>
      <c r="AO50" s="143">
        <v>1378</v>
      </c>
      <c r="AQ50" s="163" t="str">
        <f t="shared" si="7"/>
        <v>P10S2A22</v>
      </c>
      <c r="AR50" s="163"/>
      <c r="AS50" s="163">
        <v>10</v>
      </c>
      <c r="AT50" s="163">
        <v>2</v>
      </c>
      <c r="AU50" s="165">
        <v>22</v>
      </c>
      <c r="AV50" s="164">
        <v>173</v>
      </c>
    </row>
    <row r="51" spans="1:48">
      <c r="A51" s="30" t="str">
        <f t="shared" si="1"/>
        <v>P01S1A49</v>
      </c>
      <c r="B51" s="30"/>
      <c r="C51" s="30">
        <v>1</v>
      </c>
      <c r="D51" s="30">
        <v>1</v>
      </c>
      <c r="E51" s="30">
        <v>49</v>
      </c>
      <c r="F51" s="31">
        <v>6734</v>
      </c>
      <c r="H51" s="30" t="str">
        <f t="shared" si="2"/>
        <v>P15S1A49</v>
      </c>
      <c r="I51" s="30"/>
      <c r="J51" s="30">
        <v>15</v>
      </c>
      <c r="K51" s="30">
        <v>1</v>
      </c>
      <c r="L51" s="30">
        <v>49</v>
      </c>
      <c r="M51" s="31">
        <v>3650</v>
      </c>
      <c r="O51" s="30" t="str">
        <f t="shared" si="3"/>
        <v>P10S2A33</v>
      </c>
      <c r="P51" s="30">
        <v>2943</v>
      </c>
      <c r="Q51" s="30">
        <v>10</v>
      </c>
      <c r="R51" s="30">
        <v>2</v>
      </c>
      <c r="S51" s="30">
        <v>33</v>
      </c>
      <c r="T51" s="31">
        <v>4131</v>
      </c>
      <c r="V51" s="30" t="str">
        <f t="shared" si="4"/>
        <v>P10S2A33</v>
      </c>
      <c r="W51" s="30">
        <v>2223</v>
      </c>
      <c r="X51" s="30">
        <v>10</v>
      </c>
      <c r="Y51" s="30">
        <v>2</v>
      </c>
      <c r="Z51" s="30">
        <v>33</v>
      </c>
      <c r="AA51" s="31">
        <v>15578</v>
      </c>
      <c r="AC51" s="144" t="str">
        <f t="shared" si="5"/>
        <v>P10S2A23</v>
      </c>
      <c r="AD51" s="144"/>
      <c r="AE51" s="144">
        <v>10</v>
      </c>
      <c r="AF51" s="144">
        <v>2</v>
      </c>
      <c r="AG51" s="144">
        <v>23</v>
      </c>
      <c r="AH51" s="143">
        <v>1360</v>
      </c>
      <c r="AJ51" s="142" t="str">
        <f t="shared" si="6"/>
        <v>P10S1A50</v>
      </c>
      <c r="AK51" s="142"/>
      <c r="AL51" s="142">
        <v>10</v>
      </c>
      <c r="AM51" s="142">
        <v>1</v>
      </c>
      <c r="AN51" s="142">
        <v>50</v>
      </c>
      <c r="AO51" s="143">
        <v>1379</v>
      </c>
      <c r="AQ51" s="163" t="str">
        <f t="shared" si="7"/>
        <v>P10S2A23</v>
      </c>
      <c r="AR51" s="163"/>
      <c r="AS51" s="165">
        <v>10</v>
      </c>
      <c r="AT51" s="163">
        <v>2</v>
      </c>
      <c r="AU51" s="163">
        <v>23</v>
      </c>
      <c r="AV51" s="164">
        <v>182</v>
      </c>
    </row>
    <row r="52" spans="1:48">
      <c r="A52" s="30" t="str">
        <f t="shared" si="1"/>
        <v>P01S1A50</v>
      </c>
      <c r="B52" s="30"/>
      <c r="C52" s="30">
        <v>1</v>
      </c>
      <c r="D52" s="30">
        <v>1</v>
      </c>
      <c r="E52" s="30">
        <v>50</v>
      </c>
      <c r="F52" s="31">
        <v>6873</v>
      </c>
      <c r="H52" s="30" t="str">
        <f t="shared" si="2"/>
        <v>P15S1A50</v>
      </c>
      <c r="I52" s="30"/>
      <c r="J52" s="30">
        <v>15</v>
      </c>
      <c r="K52" s="30">
        <v>1</v>
      </c>
      <c r="L52" s="30">
        <v>50</v>
      </c>
      <c r="M52" s="31">
        <v>3784</v>
      </c>
      <c r="O52" s="30" t="str">
        <f t="shared" si="3"/>
        <v>P10S2A34</v>
      </c>
      <c r="P52" s="30">
        <v>2943</v>
      </c>
      <c r="Q52" s="30">
        <v>10</v>
      </c>
      <c r="R52" s="30">
        <v>2</v>
      </c>
      <c r="S52" s="30">
        <v>34</v>
      </c>
      <c r="T52" s="31">
        <v>4013</v>
      </c>
      <c r="V52" s="30" t="str">
        <f t="shared" si="4"/>
        <v>P10S2A34</v>
      </c>
      <c r="W52" s="30">
        <v>2223</v>
      </c>
      <c r="X52" s="30">
        <v>10</v>
      </c>
      <c r="Y52" s="30">
        <v>2</v>
      </c>
      <c r="Z52" s="30">
        <v>34</v>
      </c>
      <c r="AA52" s="31">
        <v>15575.000000000002</v>
      </c>
      <c r="AC52" s="144" t="str">
        <f t="shared" si="5"/>
        <v>P10S2A24</v>
      </c>
      <c r="AD52" s="144"/>
      <c r="AE52" s="142">
        <v>10</v>
      </c>
      <c r="AF52" s="142">
        <v>2</v>
      </c>
      <c r="AG52" s="142">
        <v>24</v>
      </c>
      <c r="AH52" s="143">
        <v>1373</v>
      </c>
      <c r="AJ52" s="142" t="str">
        <f t="shared" si="6"/>
        <v>P10S1A51</v>
      </c>
      <c r="AK52" s="142"/>
      <c r="AL52" s="142">
        <v>10</v>
      </c>
      <c r="AM52" s="142">
        <v>1</v>
      </c>
      <c r="AN52" s="142">
        <v>51</v>
      </c>
      <c r="AO52" s="143">
        <v>1380</v>
      </c>
      <c r="AQ52" s="163" t="str">
        <f t="shared" si="7"/>
        <v>P10S2A24</v>
      </c>
      <c r="AR52" s="163"/>
      <c r="AS52" s="163">
        <v>10</v>
      </c>
      <c r="AT52" s="163">
        <v>2</v>
      </c>
      <c r="AU52" s="165">
        <v>24</v>
      </c>
      <c r="AV52" s="164">
        <v>191</v>
      </c>
    </row>
    <row r="53" spans="1:48">
      <c r="A53" s="30" t="str">
        <f t="shared" si="1"/>
        <v>P01S1A51</v>
      </c>
      <c r="B53" s="30"/>
      <c r="C53" s="30">
        <v>1</v>
      </c>
      <c r="D53" s="30">
        <v>1</v>
      </c>
      <c r="E53" s="30">
        <v>51</v>
      </c>
      <c r="F53" s="31">
        <v>7219</v>
      </c>
      <c r="H53" s="30" t="str">
        <f t="shared" si="2"/>
        <v>P15S1A51</v>
      </c>
      <c r="I53" s="30"/>
      <c r="J53" s="30">
        <v>15</v>
      </c>
      <c r="K53" s="30">
        <v>1</v>
      </c>
      <c r="L53" s="30">
        <v>51</v>
      </c>
      <c r="M53" s="31">
        <v>3925</v>
      </c>
      <c r="O53" s="30" t="str">
        <f t="shared" si="3"/>
        <v>P10S2A35</v>
      </c>
      <c r="P53" s="30">
        <v>2943</v>
      </c>
      <c r="Q53" s="30">
        <v>10</v>
      </c>
      <c r="R53" s="30">
        <v>2</v>
      </c>
      <c r="S53" s="30">
        <v>35</v>
      </c>
      <c r="T53" s="31">
        <v>3889.0000000000005</v>
      </c>
      <c r="V53" s="30" t="str">
        <f t="shared" si="4"/>
        <v>P10S2A35</v>
      </c>
      <c r="W53" s="30">
        <v>2223</v>
      </c>
      <c r="X53" s="30">
        <v>10</v>
      </c>
      <c r="Y53" s="30">
        <v>2</v>
      </c>
      <c r="Z53" s="30">
        <v>35</v>
      </c>
      <c r="AA53" s="31">
        <v>15567</v>
      </c>
      <c r="AC53" s="144" t="str">
        <f t="shared" si="5"/>
        <v>P10S2A25</v>
      </c>
      <c r="AD53" s="144"/>
      <c r="AE53" s="144">
        <v>10</v>
      </c>
      <c r="AF53" s="144">
        <v>2</v>
      </c>
      <c r="AG53" s="144">
        <v>25</v>
      </c>
      <c r="AH53" s="143">
        <v>1387</v>
      </c>
      <c r="AJ53" s="142" t="str">
        <f t="shared" si="6"/>
        <v>P10S1A52</v>
      </c>
      <c r="AK53" s="142"/>
      <c r="AL53" s="142">
        <v>10</v>
      </c>
      <c r="AM53" s="142">
        <v>1</v>
      </c>
      <c r="AN53" s="142">
        <v>52</v>
      </c>
      <c r="AO53" s="143">
        <v>1380</v>
      </c>
      <c r="AQ53" s="163" t="str">
        <f t="shared" si="7"/>
        <v>P10S2A25</v>
      </c>
      <c r="AR53" s="163"/>
      <c r="AS53" s="165">
        <v>10</v>
      </c>
      <c r="AT53" s="163">
        <v>2</v>
      </c>
      <c r="AU53" s="163">
        <v>25</v>
      </c>
      <c r="AV53" s="164">
        <v>199</v>
      </c>
    </row>
    <row r="54" spans="1:48">
      <c r="A54" s="30" t="str">
        <f t="shared" si="1"/>
        <v>P01S1A52</v>
      </c>
      <c r="B54" s="30"/>
      <c r="C54" s="30">
        <v>1</v>
      </c>
      <c r="D54" s="30">
        <v>1</v>
      </c>
      <c r="E54" s="30">
        <v>52</v>
      </c>
      <c r="F54" s="31">
        <v>7565</v>
      </c>
      <c r="H54" s="30" t="str">
        <f t="shared" si="2"/>
        <v>P15S1A52</v>
      </c>
      <c r="I54" s="30"/>
      <c r="J54" s="30">
        <v>15</v>
      </c>
      <c r="K54" s="30">
        <v>1</v>
      </c>
      <c r="L54" s="30">
        <v>52</v>
      </c>
      <c r="M54" s="31">
        <v>4073</v>
      </c>
      <c r="O54" s="30" t="str">
        <f t="shared" si="3"/>
        <v>P10S2A36</v>
      </c>
      <c r="P54" s="30">
        <v>2943</v>
      </c>
      <c r="Q54" s="30">
        <v>10</v>
      </c>
      <c r="R54" s="30">
        <v>2</v>
      </c>
      <c r="S54" s="30">
        <v>36</v>
      </c>
      <c r="T54" s="31">
        <v>3758.0000000000005</v>
      </c>
      <c r="V54" s="30" t="str">
        <f t="shared" si="4"/>
        <v>P10S2A36</v>
      </c>
      <c r="W54" s="30">
        <v>2223</v>
      </c>
      <c r="X54" s="30">
        <v>10</v>
      </c>
      <c r="Y54" s="30">
        <v>2</v>
      </c>
      <c r="Z54" s="30">
        <v>36</v>
      </c>
      <c r="AA54" s="31">
        <v>15552</v>
      </c>
      <c r="AC54" s="144" t="str">
        <f t="shared" si="5"/>
        <v>P10S2A26</v>
      </c>
      <c r="AD54" s="144"/>
      <c r="AE54" s="142">
        <v>10</v>
      </c>
      <c r="AF54" s="142">
        <v>2</v>
      </c>
      <c r="AG54" s="142">
        <v>26</v>
      </c>
      <c r="AH54" s="143">
        <v>1400</v>
      </c>
      <c r="AJ54" s="142" t="str">
        <f t="shared" si="6"/>
        <v>P10S1A53</v>
      </c>
      <c r="AK54" s="142"/>
      <c r="AL54" s="142">
        <v>10</v>
      </c>
      <c r="AM54" s="142">
        <v>1</v>
      </c>
      <c r="AN54" s="142">
        <v>53</v>
      </c>
      <c r="AO54" s="143">
        <v>1380</v>
      </c>
      <c r="AQ54" s="163" t="str">
        <f t="shared" si="7"/>
        <v>P10S2A26</v>
      </c>
      <c r="AR54" s="163"/>
      <c r="AS54" s="163">
        <v>10</v>
      </c>
      <c r="AT54" s="163">
        <v>2</v>
      </c>
      <c r="AU54" s="165">
        <v>26</v>
      </c>
      <c r="AV54" s="164">
        <v>207</v>
      </c>
    </row>
    <row r="55" spans="1:48">
      <c r="A55" s="30" t="str">
        <f t="shared" si="1"/>
        <v>P01S1A53</v>
      </c>
      <c r="B55" s="30"/>
      <c r="C55" s="30">
        <v>1</v>
      </c>
      <c r="D55" s="30">
        <v>1</v>
      </c>
      <c r="E55" s="30">
        <v>53</v>
      </c>
      <c r="F55" s="31">
        <v>8006</v>
      </c>
      <c r="H55" s="30" t="str">
        <f t="shared" si="2"/>
        <v>P15S1A53</v>
      </c>
      <c r="I55" s="30"/>
      <c r="J55" s="30">
        <v>15</v>
      </c>
      <c r="K55" s="30">
        <v>1</v>
      </c>
      <c r="L55" s="30">
        <v>53</v>
      </c>
      <c r="M55" s="31">
        <v>4228</v>
      </c>
      <c r="O55" s="30" t="str">
        <f t="shared" si="3"/>
        <v>P10S2A37</v>
      </c>
      <c r="P55" s="30">
        <v>2943</v>
      </c>
      <c r="Q55" s="30">
        <v>10</v>
      </c>
      <c r="R55" s="30">
        <v>2</v>
      </c>
      <c r="S55" s="30">
        <v>37</v>
      </c>
      <c r="T55" s="31">
        <v>3623</v>
      </c>
      <c r="V55" s="30" t="str">
        <f t="shared" si="4"/>
        <v>P10S2A37</v>
      </c>
      <c r="W55" s="30">
        <v>2223</v>
      </c>
      <c r="X55" s="30">
        <v>10</v>
      </c>
      <c r="Y55" s="30">
        <v>2</v>
      </c>
      <c r="Z55" s="30">
        <v>37</v>
      </c>
      <c r="AA55" s="31">
        <v>15532</v>
      </c>
      <c r="AC55" s="144" t="str">
        <f t="shared" si="5"/>
        <v>P10S2A27</v>
      </c>
      <c r="AD55" s="144"/>
      <c r="AE55" s="144">
        <v>10</v>
      </c>
      <c r="AF55" s="144">
        <v>2</v>
      </c>
      <c r="AG55" s="144">
        <v>27</v>
      </c>
      <c r="AH55" s="143">
        <v>1414</v>
      </c>
      <c r="AJ55" s="142" t="str">
        <f t="shared" si="6"/>
        <v>P10S1A54</v>
      </c>
      <c r="AK55" s="142"/>
      <c r="AL55" s="142">
        <v>10</v>
      </c>
      <c r="AM55" s="142">
        <v>1</v>
      </c>
      <c r="AN55" s="142">
        <v>54</v>
      </c>
      <c r="AO55" s="143">
        <v>1382</v>
      </c>
      <c r="AQ55" s="163" t="str">
        <f t="shared" si="7"/>
        <v>P10S2A27</v>
      </c>
      <c r="AR55" s="163"/>
      <c r="AS55" s="165">
        <v>10</v>
      </c>
      <c r="AT55" s="163">
        <v>2</v>
      </c>
      <c r="AU55" s="163">
        <v>27</v>
      </c>
      <c r="AV55" s="164">
        <v>215</v>
      </c>
    </row>
    <row r="56" spans="1:48">
      <c r="A56" s="30" t="str">
        <f t="shared" si="1"/>
        <v>P01S1A54</v>
      </c>
      <c r="B56" s="30"/>
      <c r="C56" s="30">
        <v>1</v>
      </c>
      <c r="D56" s="30">
        <v>1</v>
      </c>
      <c r="E56" s="30">
        <v>54</v>
      </c>
      <c r="F56" s="31">
        <v>8447</v>
      </c>
      <c r="H56" s="30" t="str">
        <f t="shared" si="2"/>
        <v>P15S1A54</v>
      </c>
      <c r="I56" s="30"/>
      <c r="J56" s="30">
        <v>15</v>
      </c>
      <c r="K56" s="30">
        <v>1</v>
      </c>
      <c r="L56" s="30">
        <v>54</v>
      </c>
      <c r="M56" s="31">
        <v>4392</v>
      </c>
      <c r="O56" s="30" t="str">
        <f t="shared" si="3"/>
        <v>P10S2A38</v>
      </c>
      <c r="P56" s="30">
        <v>2943</v>
      </c>
      <c r="Q56" s="30">
        <v>10</v>
      </c>
      <c r="R56" s="30">
        <v>2</v>
      </c>
      <c r="S56" s="30">
        <v>38</v>
      </c>
      <c r="T56" s="31">
        <v>3482</v>
      </c>
      <c r="V56" s="30" t="str">
        <f t="shared" si="4"/>
        <v>P10S2A38</v>
      </c>
      <c r="W56" s="30">
        <v>2223</v>
      </c>
      <c r="X56" s="30">
        <v>10</v>
      </c>
      <c r="Y56" s="30">
        <v>2</v>
      </c>
      <c r="Z56" s="30">
        <v>38</v>
      </c>
      <c r="AA56" s="31">
        <v>15508</v>
      </c>
      <c r="AC56" s="144" t="str">
        <f t="shared" si="5"/>
        <v>P10S2A28</v>
      </c>
      <c r="AD56" s="144"/>
      <c r="AE56" s="142">
        <v>10</v>
      </c>
      <c r="AF56" s="142">
        <v>2</v>
      </c>
      <c r="AG56" s="142">
        <v>28</v>
      </c>
      <c r="AH56" s="143">
        <v>1428</v>
      </c>
      <c r="AJ56" s="142" t="str">
        <f t="shared" si="6"/>
        <v>P10S1A55</v>
      </c>
      <c r="AK56" s="142"/>
      <c r="AL56" s="142">
        <v>10</v>
      </c>
      <c r="AM56" s="142">
        <v>1</v>
      </c>
      <c r="AN56" s="142">
        <v>55</v>
      </c>
      <c r="AO56" s="143">
        <v>1382</v>
      </c>
      <c r="AQ56" s="163" t="str">
        <f t="shared" si="7"/>
        <v>P10S2A28</v>
      </c>
      <c r="AR56" s="163"/>
      <c r="AS56" s="163">
        <v>10</v>
      </c>
      <c r="AT56" s="163">
        <v>2</v>
      </c>
      <c r="AU56" s="165">
        <v>28</v>
      </c>
      <c r="AV56" s="164">
        <v>221</v>
      </c>
    </row>
    <row r="57" spans="1:48">
      <c r="A57" s="30" t="str">
        <f t="shared" si="1"/>
        <v>P01S1A55</v>
      </c>
      <c r="B57" s="30"/>
      <c r="C57" s="30">
        <v>1</v>
      </c>
      <c r="D57" s="30">
        <v>1</v>
      </c>
      <c r="E57" s="30">
        <v>55</v>
      </c>
      <c r="F57" s="31">
        <v>8628</v>
      </c>
      <c r="H57" s="30" t="str">
        <f t="shared" si="2"/>
        <v>P15S1A55</v>
      </c>
      <c r="I57" s="30"/>
      <c r="J57" s="30">
        <v>15</v>
      </c>
      <c r="K57" s="30">
        <v>1</v>
      </c>
      <c r="L57" s="30">
        <v>55</v>
      </c>
      <c r="M57" s="31">
        <v>4567</v>
      </c>
      <c r="O57" s="30" t="str">
        <f t="shared" si="3"/>
        <v>P10S2A39</v>
      </c>
      <c r="P57" s="30">
        <v>2943</v>
      </c>
      <c r="Q57" s="30">
        <v>10</v>
      </c>
      <c r="R57" s="30">
        <v>2</v>
      </c>
      <c r="S57" s="30">
        <v>39</v>
      </c>
      <c r="T57" s="31">
        <v>3336</v>
      </c>
      <c r="V57" s="30" t="str">
        <f t="shared" si="4"/>
        <v>P10S2A39</v>
      </c>
      <c r="W57" s="30">
        <v>2223</v>
      </c>
      <c r="X57" s="30">
        <v>10</v>
      </c>
      <c r="Y57" s="30">
        <v>2</v>
      </c>
      <c r="Z57" s="30">
        <v>39</v>
      </c>
      <c r="AA57" s="31">
        <v>15479</v>
      </c>
      <c r="AC57" s="144" t="str">
        <f t="shared" si="5"/>
        <v>P10S2A29</v>
      </c>
      <c r="AD57" s="144"/>
      <c r="AE57" s="144">
        <v>10</v>
      </c>
      <c r="AF57" s="144">
        <v>2</v>
      </c>
      <c r="AG57" s="144">
        <v>29</v>
      </c>
      <c r="AH57" s="143">
        <v>1442</v>
      </c>
      <c r="AJ57" s="142" t="str">
        <f t="shared" si="6"/>
        <v>P10S1A56</v>
      </c>
      <c r="AK57" s="142"/>
      <c r="AL57" s="142">
        <v>10</v>
      </c>
      <c r="AM57" s="142">
        <v>1</v>
      </c>
      <c r="AN57" s="142">
        <v>56</v>
      </c>
      <c r="AO57" s="143">
        <v>1382</v>
      </c>
      <c r="AQ57" s="163" t="str">
        <f t="shared" si="7"/>
        <v>P10S2A29</v>
      </c>
      <c r="AR57" s="163"/>
      <c r="AS57" s="165">
        <v>10</v>
      </c>
      <c r="AT57" s="163">
        <v>2</v>
      </c>
      <c r="AU57" s="163">
        <v>29</v>
      </c>
      <c r="AV57" s="164">
        <v>228</v>
      </c>
    </row>
    <row r="58" spans="1:48">
      <c r="A58" s="30" t="str">
        <f t="shared" si="1"/>
        <v>P01S1A56</v>
      </c>
      <c r="B58" s="30"/>
      <c r="C58" s="30">
        <v>1</v>
      </c>
      <c r="D58" s="30">
        <v>1</v>
      </c>
      <c r="E58" s="30">
        <v>56</v>
      </c>
      <c r="F58" s="31">
        <v>9058</v>
      </c>
      <c r="H58" s="30" t="str">
        <f t="shared" si="2"/>
        <v>P15S1A56</v>
      </c>
      <c r="I58" s="30"/>
      <c r="J58" s="30">
        <v>15</v>
      </c>
      <c r="K58" s="30">
        <v>1</v>
      </c>
      <c r="L58" s="30">
        <v>56</v>
      </c>
      <c r="M58" s="31">
        <v>4757</v>
      </c>
      <c r="O58" s="30" t="str">
        <f t="shared" si="3"/>
        <v>P10S2A40</v>
      </c>
      <c r="P58" s="30">
        <v>2943</v>
      </c>
      <c r="Q58" s="30">
        <v>10</v>
      </c>
      <c r="R58" s="30">
        <v>2</v>
      </c>
      <c r="S58" s="30">
        <v>40</v>
      </c>
      <c r="T58" s="31">
        <v>3187</v>
      </c>
      <c r="V58" s="30" t="str">
        <f t="shared" si="4"/>
        <v>P10S2A40</v>
      </c>
      <c r="W58" s="30">
        <v>2223</v>
      </c>
      <c r="X58" s="30">
        <v>10</v>
      </c>
      <c r="Y58" s="30">
        <v>2</v>
      </c>
      <c r="Z58" s="30">
        <v>40</v>
      </c>
      <c r="AA58" s="31">
        <v>15446</v>
      </c>
      <c r="AC58" s="144" t="str">
        <f t="shared" si="5"/>
        <v>P10S2A30</v>
      </c>
      <c r="AD58" s="144"/>
      <c r="AE58" s="142">
        <v>10</v>
      </c>
      <c r="AF58" s="142">
        <v>2</v>
      </c>
      <c r="AG58" s="142">
        <v>30</v>
      </c>
      <c r="AH58" s="143">
        <v>1458</v>
      </c>
      <c r="AJ58" s="142" t="str">
        <f t="shared" si="6"/>
        <v>P10S1A57</v>
      </c>
      <c r="AK58" s="142"/>
      <c r="AL58" s="142">
        <v>10</v>
      </c>
      <c r="AM58" s="142">
        <v>1</v>
      </c>
      <c r="AN58" s="142">
        <v>57</v>
      </c>
      <c r="AO58" s="143">
        <v>1382</v>
      </c>
      <c r="AQ58" s="163" t="str">
        <f t="shared" si="7"/>
        <v>P10S2A30</v>
      </c>
      <c r="AR58" s="163"/>
      <c r="AS58" s="163">
        <v>10</v>
      </c>
      <c r="AT58" s="163">
        <v>2</v>
      </c>
      <c r="AU58" s="165">
        <v>30</v>
      </c>
      <c r="AV58" s="164">
        <v>234</v>
      </c>
    </row>
    <row r="59" spans="1:48">
      <c r="A59" s="30" t="str">
        <f t="shared" si="1"/>
        <v>P01S1A57</v>
      </c>
      <c r="B59" s="30"/>
      <c r="C59" s="30">
        <v>1</v>
      </c>
      <c r="D59" s="30">
        <v>1</v>
      </c>
      <c r="E59" s="30">
        <v>57</v>
      </c>
      <c r="F59" s="31">
        <v>9488</v>
      </c>
      <c r="H59" s="30" t="str">
        <f t="shared" si="2"/>
        <v>P15S1A57</v>
      </c>
      <c r="I59" s="30"/>
      <c r="J59" s="30">
        <v>15</v>
      </c>
      <c r="K59" s="30">
        <v>1</v>
      </c>
      <c r="L59" s="30">
        <v>57</v>
      </c>
      <c r="M59" s="31">
        <v>4965</v>
      </c>
      <c r="O59" s="30" t="str">
        <f t="shared" si="3"/>
        <v>P10S2A41</v>
      </c>
      <c r="P59" s="30">
        <v>2943</v>
      </c>
      <c r="Q59" s="30">
        <v>10</v>
      </c>
      <c r="R59" s="30">
        <v>2</v>
      </c>
      <c r="S59" s="30">
        <v>41</v>
      </c>
      <c r="T59" s="31">
        <v>3035</v>
      </c>
      <c r="V59" s="30" t="str">
        <f t="shared" si="4"/>
        <v>P10S2A41</v>
      </c>
      <c r="W59" s="30">
        <v>2223</v>
      </c>
      <c r="X59" s="30">
        <v>10</v>
      </c>
      <c r="Y59" s="30">
        <v>2</v>
      </c>
      <c r="Z59" s="30">
        <v>41</v>
      </c>
      <c r="AA59" s="31">
        <v>15411</v>
      </c>
      <c r="AC59" s="144" t="str">
        <f t="shared" si="5"/>
        <v>P10S2A31</v>
      </c>
      <c r="AD59" s="144"/>
      <c r="AE59" s="144">
        <v>10</v>
      </c>
      <c r="AF59" s="144">
        <v>2</v>
      </c>
      <c r="AG59" s="144">
        <v>31</v>
      </c>
      <c r="AH59" s="143">
        <v>1476</v>
      </c>
      <c r="AJ59" s="142" t="str">
        <f t="shared" si="6"/>
        <v>P10S1A58</v>
      </c>
      <c r="AK59" s="142"/>
      <c r="AL59" s="142">
        <v>10</v>
      </c>
      <c r="AM59" s="142">
        <v>1</v>
      </c>
      <c r="AN59" s="142">
        <v>58</v>
      </c>
      <c r="AO59" s="143">
        <v>1382</v>
      </c>
      <c r="AQ59" s="163" t="str">
        <f t="shared" si="7"/>
        <v>P10S2A31</v>
      </c>
      <c r="AR59" s="163"/>
      <c r="AS59" s="165">
        <v>10</v>
      </c>
      <c r="AT59" s="163">
        <v>2</v>
      </c>
      <c r="AU59" s="163">
        <v>31</v>
      </c>
      <c r="AV59" s="164">
        <v>241</v>
      </c>
    </row>
    <row r="60" spans="1:48">
      <c r="A60" s="30" t="str">
        <f t="shared" si="1"/>
        <v>P01S1A58</v>
      </c>
      <c r="B60" s="30"/>
      <c r="C60" s="30">
        <v>1</v>
      </c>
      <c r="D60" s="30">
        <v>1</v>
      </c>
      <c r="E60" s="30">
        <v>58</v>
      </c>
      <c r="F60" s="31">
        <v>9961</v>
      </c>
      <c r="H60" s="30" t="str">
        <f t="shared" si="2"/>
        <v>P15S1A58</v>
      </c>
      <c r="I60" s="30"/>
      <c r="J60" s="30">
        <v>15</v>
      </c>
      <c r="K60" s="30">
        <v>1</v>
      </c>
      <c r="L60" s="30">
        <v>58</v>
      </c>
      <c r="M60" s="31">
        <v>5192</v>
      </c>
      <c r="O60" s="30" t="str">
        <f t="shared" si="3"/>
        <v>P10S2A42</v>
      </c>
      <c r="P60" s="30">
        <v>2943</v>
      </c>
      <c r="Q60" s="30">
        <v>10</v>
      </c>
      <c r="R60" s="30">
        <v>2</v>
      </c>
      <c r="S60" s="30">
        <v>42</v>
      </c>
      <c r="T60" s="31">
        <v>2880</v>
      </c>
      <c r="V60" s="30" t="str">
        <f t="shared" si="4"/>
        <v>P10S2A42</v>
      </c>
      <c r="W60" s="30">
        <v>2223</v>
      </c>
      <c r="X60" s="30">
        <v>10</v>
      </c>
      <c r="Y60" s="30">
        <v>2</v>
      </c>
      <c r="Z60" s="30">
        <v>42</v>
      </c>
      <c r="AA60" s="31">
        <v>15373.000000000002</v>
      </c>
      <c r="AC60" s="144" t="str">
        <f t="shared" si="5"/>
        <v>P10S2A32</v>
      </c>
      <c r="AD60" s="144"/>
      <c r="AE60" s="142">
        <v>10</v>
      </c>
      <c r="AF60" s="142">
        <v>2</v>
      </c>
      <c r="AG60" s="142">
        <v>32</v>
      </c>
      <c r="AH60" s="143">
        <v>1493</v>
      </c>
      <c r="AJ60" s="142" t="str">
        <f t="shared" si="6"/>
        <v>P10S1A59</v>
      </c>
      <c r="AK60" s="142"/>
      <c r="AL60" s="142">
        <v>10</v>
      </c>
      <c r="AM60" s="142">
        <v>1</v>
      </c>
      <c r="AN60" s="142">
        <v>59</v>
      </c>
      <c r="AO60" s="143">
        <v>1382</v>
      </c>
      <c r="AQ60" s="163" t="str">
        <f t="shared" si="7"/>
        <v>P10S2A32</v>
      </c>
      <c r="AR60" s="163"/>
      <c r="AS60" s="163">
        <v>10</v>
      </c>
      <c r="AT60" s="163">
        <v>2</v>
      </c>
      <c r="AU60" s="165">
        <v>32</v>
      </c>
      <c r="AV60" s="164">
        <v>248</v>
      </c>
    </row>
    <row r="61" spans="1:48">
      <c r="A61" s="30" t="str">
        <f t="shared" si="1"/>
        <v>P01S1A59</v>
      </c>
      <c r="B61" s="30"/>
      <c r="C61" s="30">
        <v>1</v>
      </c>
      <c r="D61" s="30">
        <v>1</v>
      </c>
      <c r="E61" s="30">
        <v>59</v>
      </c>
      <c r="F61" s="31">
        <v>10434</v>
      </c>
      <c r="H61" s="30" t="str">
        <f t="shared" si="2"/>
        <v>P15S1A59</v>
      </c>
      <c r="I61" s="30"/>
      <c r="J61" s="30">
        <v>15</v>
      </c>
      <c r="K61" s="30">
        <v>1</v>
      </c>
      <c r="L61" s="30">
        <v>59</v>
      </c>
      <c r="M61" s="31">
        <v>5440</v>
      </c>
      <c r="O61" s="30" t="str">
        <f t="shared" si="3"/>
        <v>P10S2A43</v>
      </c>
      <c r="P61" s="30">
        <v>2943</v>
      </c>
      <c r="Q61" s="30">
        <v>10</v>
      </c>
      <c r="R61" s="30">
        <v>2</v>
      </c>
      <c r="S61" s="30">
        <v>43</v>
      </c>
      <c r="T61" s="31">
        <v>2723.9999999999995</v>
      </c>
      <c r="V61" s="30" t="str">
        <f t="shared" si="4"/>
        <v>P10S2A43</v>
      </c>
      <c r="W61" s="30">
        <v>2223</v>
      </c>
      <c r="X61" s="30">
        <v>10</v>
      </c>
      <c r="Y61" s="30">
        <v>2</v>
      </c>
      <c r="Z61" s="30">
        <v>43</v>
      </c>
      <c r="AA61" s="31">
        <v>15333.000000000002</v>
      </c>
      <c r="AC61" s="144" t="str">
        <f t="shared" si="5"/>
        <v>P10S2A33</v>
      </c>
      <c r="AD61" s="144"/>
      <c r="AE61" s="144">
        <v>10</v>
      </c>
      <c r="AF61" s="144">
        <v>2</v>
      </c>
      <c r="AG61" s="144">
        <v>33</v>
      </c>
      <c r="AH61" s="143">
        <v>1495</v>
      </c>
      <c r="AJ61" s="142" t="str">
        <f t="shared" si="6"/>
        <v>P10S1A60</v>
      </c>
      <c r="AK61" s="142"/>
      <c r="AL61" s="142">
        <v>10</v>
      </c>
      <c r="AM61" s="142">
        <v>1</v>
      </c>
      <c r="AN61" s="142">
        <v>60</v>
      </c>
      <c r="AO61" s="143">
        <v>1382</v>
      </c>
      <c r="AQ61" s="163" t="str">
        <f t="shared" si="7"/>
        <v>P10S2A33</v>
      </c>
      <c r="AR61" s="163"/>
      <c r="AS61" s="165">
        <v>10</v>
      </c>
      <c r="AT61" s="163">
        <v>2</v>
      </c>
      <c r="AU61" s="163">
        <v>33</v>
      </c>
      <c r="AV61" s="164">
        <v>254</v>
      </c>
    </row>
    <row r="62" spans="1:48">
      <c r="A62" s="30" t="str">
        <f t="shared" si="1"/>
        <v>P01S1A60</v>
      </c>
      <c r="B62" s="30"/>
      <c r="C62" s="30">
        <v>1</v>
      </c>
      <c r="D62" s="30">
        <v>1</v>
      </c>
      <c r="E62" s="30">
        <v>60</v>
      </c>
      <c r="F62" s="31">
        <v>10265</v>
      </c>
      <c r="H62" s="30" t="str">
        <f t="shared" si="2"/>
        <v>P15S1A60</v>
      </c>
      <c r="I62" s="30"/>
      <c r="J62" s="30">
        <v>15</v>
      </c>
      <c r="K62" s="30">
        <v>1</v>
      </c>
      <c r="L62" s="30">
        <v>60</v>
      </c>
      <c r="M62" s="31">
        <v>5760</v>
      </c>
      <c r="O62" s="30" t="str">
        <f t="shared" si="3"/>
        <v>P10S2A44</v>
      </c>
      <c r="P62" s="30">
        <v>2943</v>
      </c>
      <c r="Q62" s="30">
        <v>10</v>
      </c>
      <c r="R62" s="30">
        <v>2</v>
      </c>
      <c r="S62" s="30">
        <v>44</v>
      </c>
      <c r="T62" s="31">
        <v>2566</v>
      </c>
      <c r="V62" s="30" t="str">
        <f t="shared" si="4"/>
        <v>P10S2A44</v>
      </c>
      <c r="W62" s="30">
        <v>2223</v>
      </c>
      <c r="X62" s="30">
        <v>10</v>
      </c>
      <c r="Y62" s="30">
        <v>2</v>
      </c>
      <c r="Z62" s="30">
        <v>44</v>
      </c>
      <c r="AA62" s="31">
        <v>15291.999999999998</v>
      </c>
      <c r="AC62" s="144" t="str">
        <f t="shared" si="5"/>
        <v>P10S2A34</v>
      </c>
      <c r="AD62" s="144"/>
      <c r="AE62" s="142">
        <v>10</v>
      </c>
      <c r="AF62" s="142">
        <v>2</v>
      </c>
      <c r="AG62" s="142">
        <v>34</v>
      </c>
      <c r="AH62" s="143">
        <v>1496</v>
      </c>
      <c r="AJ62" s="142" t="str">
        <f t="shared" si="6"/>
        <v>P10S1A61</v>
      </c>
      <c r="AK62" s="142"/>
      <c r="AL62" s="142">
        <v>10</v>
      </c>
      <c r="AM62" s="142">
        <v>1</v>
      </c>
      <c r="AN62" s="142">
        <v>61</v>
      </c>
      <c r="AO62" s="143">
        <v>1382</v>
      </c>
      <c r="AQ62" s="163" t="str">
        <f t="shared" si="7"/>
        <v>P10S2A34</v>
      </c>
      <c r="AR62" s="163"/>
      <c r="AS62" s="163">
        <v>10</v>
      </c>
      <c r="AT62" s="163">
        <v>2</v>
      </c>
      <c r="AU62" s="165">
        <v>34</v>
      </c>
      <c r="AV62" s="164">
        <v>262</v>
      </c>
    </row>
    <row r="63" spans="1:48">
      <c r="A63" s="30" t="str">
        <f t="shared" si="1"/>
        <v>P01S1A61</v>
      </c>
      <c r="B63" s="30"/>
      <c r="C63" s="30">
        <v>1</v>
      </c>
      <c r="D63" s="30">
        <v>1</v>
      </c>
      <c r="E63" s="30">
        <v>61</v>
      </c>
      <c r="F63" s="31">
        <v>10718</v>
      </c>
      <c r="H63" s="30" t="str">
        <f t="shared" si="2"/>
        <v>P15S2A00</v>
      </c>
      <c r="I63" s="30"/>
      <c r="J63" s="30">
        <v>15</v>
      </c>
      <c r="K63" s="30">
        <v>2</v>
      </c>
      <c r="L63" s="30">
        <v>0</v>
      </c>
      <c r="M63" s="31">
        <v>1712</v>
      </c>
      <c r="O63" s="30" t="str">
        <f t="shared" si="3"/>
        <v>P10S2A45</v>
      </c>
      <c r="P63" s="30">
        <v>2943</v>
      </c>
      <c r="Q63" s="30">
        <v>10</v>
      </c>
      <c r="R63" s="30">
        <v>2</v>
      </c>
      <c r="S63" s="30">
        <v>45</v>
      </c>
      <c r="T63" s="31">
        <v>2408</v>
      </c>
      <c r="V63" s="30" t="str">
        <f t="shared" si="4"/>
        <v>P10S2A45</v>
      </c>
      <c r="W63" s="30">
        <v>2223</v>
      </c>
      <c r="X63" s="30">
        <v>10</v>
      </c>
      <c r="Y63" s="30">
        <v>2</v>
      </c>
      <c r="Z63" s="30">
        <v>45</v>
      </c>
      <c r="AA63" s="31">
        <v>15250</v>
      </c>
      <c r="AC63" s="144" t="str">
        <f t="shared" si="5"/>
        <v>P10S2A35</v>
      </c>
      <c r="AD63" s="144"/>
      <c r="AE63" s="144">
        <v>10</v>
      </c>
      <c r="AF63" s="144">
        <v>2</v>
      </c>
      <c r="AG63" s="144">
        <v>35</v>
      </c>
      <c r="AH63" s="143">
        <v>1499</v>
      </c>
      <c r="AJ63" s="142" t="str">
        <f t="shared" si="6"/>
        <v>P10S1A62</v>
      </c>
      <c r="AK63" s="142"/>
      <c r="AL63" s="142">
        <v>10</v>
      </c>
      <c r="AM63" s="142">
        <v>1</v>
      </c>
      <c r="AN63" s="142">
        <v>62</v>
      </c>
      <c r="AO63" s="143">
        <v>1382</v>
      </c>
      <c r="AQ63" s="163" t="str">
        <f t="shared" si="7"/>
        <v>P10S2A35</v>
      </c>
      <c r="AR63" s="163"/>
      <c r="AS63" s="165">
        <v>10</v>
      </c>
      <c r="AT63" s="163">
        <v>2</v>
      </c>
      <c r="AU63" s="163">
        <v>35</v>
      </c>
      <c r="AV63" s="164">
        <v>270</v>
      </c>
    </row>
    <row r="64" spans="1:48">
      <c r="A64" s="30" t="str">
        <f t="shared" si="1"/>
        <v>P01S1A62</v>
      </c>
      <c r="B64" s="30"/>
      <c r="C64" s="30">
        <v>1</v>
      </c>
      <c r="D64" s="30">
        <v>1</v>
      </c>
      <c r="E64" s="30">
        <v>62</v>
      </c>
      <c r="F64" s="31">
        <v>11171</v>
      </c>
      <c r="H64" s="30" t="str">
        <f t="shared" si="2"/>
        <v>P15S2A01</v>
      </c>
      <c r="I64" s="30"/>
      <c r="J64" s="30">
        <v>15</v>
      </c>
      <c r="K64" s="30">
        <v>2</v>
      </c>
      <c r="L64" s="30">
        <v>1</v>
      </c>
      <c r="M64" s="31">
        <v>1712</v>
      </c>
      <c r="O64" s="30" t="str">
        <f t="shared" si="3"/>
        <v>P10S2A46</v>
      </c>
      <c r="P64" s="30">
        <v>2943</v>
      </c>
      <c r="Q64" s="30">
        <v>10</v>
      </c>
      <c r="R64" s="30">
        <v>2</v>
      </c>
      <c r="S64" s="30">
        <v>46</v>
      </c>
      <c r="T64" s="31">
        <v>2249</v>
      </c>
      <c r="V64" s="30" t="str">
        <f t="shared" si="4"/>
        <v>P10S2A46</v>
      </c>
      <c r="W64" s="30">
        <v>2223</v>
      </c>
      <c r="X64" s="30">
        <v>10</v>
      </c>
      <c r="Y64" s="30">
        <v>2</v>
      </c>
      <c r="Z64" s="30">
        <v>46</v>
      </c>
      <c r="AA64" s="31">
        <v>15208</v>
      </c>
      <c r="AC64" s="144" t="str">
        <f t="shared" si="5"/>
        <v>P10S2A36</v>
      </c>
      <c r="AD64" s="144"/>
      <c r="AE64" s="142">
        <v>10</v>
      </c>
      <c r="AF64" s="142">
        <v>2</v>
      </c>
      <c r="AG64" s="142">
        <v>36</v>
      </c>
      <c r="AH64" s="143">
        <v>1501</v>
      </c>
      <c r="AJ64" s="142" t="str">
        <f t="shared" si="6"/>
        <v>P10S1A63</v>
      </c>
      <c r="AK64" s="142"/>
      <c r="AL64" s="142">
        <v>10</v>
      </c>
      <c r="AM64" s="142">
        <v>1</v>
      </c>
      <c r="AN64" s="142">
        <v>63</v>
      </c>
      <c r="AO64" s="143">
        <v>1382</v>
      </c>
      <c r="AQ64" s="163" t="str">
        <f t="shared" si="7"/>
        <v>P10S2A36</v>
      </c>
      <c r="AR64" s="163"/>
      <c r="AS64" s="163">
        <v>10</v>
      </c>
      <c r="AT64" s="163">
        <v>2</v>
      </c>
      <c r="AU64" s="165">
        <v>36</v>
      </c>
      <c r="AV64" s="164">
        <v>278</v>
      </c>
    </row>
    <row r="65" spans="1:48">
      <c r="A65" s="30" t="str">
        <f t="shared" si="1"/>
        <v>P01S1A63</v>
      </c>
      <c r="B65" s="30"/>
      <c r="C65" s="30">
        <v>1</v>
      </c>
      <c r="D65" s="30">
        <v>1</v>
      </c>
      <c r="E65" s="30">
        <v>63</v>
      </c>
      <c r="F65" s="31">
        <v>11858</v>
      </c>
      <c r="H65" s="30" t="str">
        <f t="shared" si="2"/>
        <v>P15S2A02</v>
      </c>
      <c r="I65" s="30"/>
      <c r="J65" s="30">
        <v>15</v>
      </c>
      <c r="K65" s="30">
        <v>2</v>
      </c>
      <c r="L65" s="30">
        <v>2</v>
      </c>
      <c r="M65" s="31">
        <v>1712</v>
      </c>
      <c r="O65" s="30" t="str">
        <f t="shared" si="3"/>
        <v>P10S2A47</v>
      </c>
      <c r="P65" s="30">
        <v>2943</v>
      </c>
      <c r="Q65" s="30">
        <v>10</v>
      </c>
      <c r="R65" s="30">
        <v>2</v>
      </c>
      <c r="S65" s="30">
        <v>47</v>
      </c>
      <c r="T65" s="31">
        <v>2092</v>
      </c>
      <c r="V65" s="30" t="str">
        <f t="shared" si="4"/>
        <v>P10S2A47</v>
      </c>
      <c r="W65" s="30">
        <v>2223</v>
      </c>
      <c r="X65" s="30">
        <v>10</v>
      </c>
      <c r="Y65" s="30">
        <v>2</v>
      </c>
      <c r="Z65" s="30">
        <v>47</v>
      </c>
      <c r="AA65" s="31">
        <v>15166</v>
      </c>
      <c r="AC65" s="144" t="str">
        <f t="shared" si="5"/>
        <v>P10S2A37</v>
      </c>
      <c r="AD65" s="144"/>
      <c r="AE65" s="144">
        <v>10</v>
      </c>
      <c r="AF65" s="144">
        <v>2</v>
      </c>
      <c r="AG65" s="144">
        <v>37</v>
      </c>
      <c r="AH65" s="143">
        <v>1502</v>
      </c>
      <c r="AJ65" s="142" t="str">
        <f t="shared" si="6"/>
        <v>P10S1A64</v>
      </c>
      <c r="AK65" s="142"/>
      <c r="AL65" s="142">
        <v>10</v>
      </c>
      <c r="AM65" s="142">
        <v>1</v>
      </c>
      <c r="AN65" s="142">
        <v>64</v>
      </c>
      <c r="AO65" s="143">
        <v>1382</v>
      </c>
      <c r="AQ65" s="163" t="str">
        <f t="shared" si="7"/>
        <v>P10S2A37</v>
      </c>
      <c r="AR65" s="163"/>
      <c r="AS65" s="165">
        <v>10</v>
      </c>
      <c r="AT65" s="163">
        <v>2</v>
      </c>
      <c r="AU65" s="163">
        <v>37</v>
      </c>
      <c r="AV65" s="164">
        <v>287</v>
      </c>
    </row>
    <row r="66" spans="1:48">
      <c r="A66" s="30" t="str">
        <f t="shared" si="1"/>
        <v>P01S1A64</v>
      </c>
      <c r="B66" s="30"/>
      <c r="C66" s="30">
        <v>1</v>
      </c>
      <c r="D66" s="30">
        <v>1</v>
      </c>
      <c r="E66" s="30">
        <v>64</v>
      </c>
      <c r="F66" s="31">
        <v>12545</v>
      </c>
      <c r="H66" s="30" t="str">
        <f t="shared" si="2"/>
        <v>P15S2A03</v>
      </c>
      <c r="I66" s="30"/>
      <c r="J66" s="30">
        <v>15</v>
      </c>
      <c r="K66" s="30">
        <v>2</v>
      </c>
      <c r="L66" s="30">
        <v>3</v>
      </c>
      <c r="M66" s="31">
        <v>1712</v>
      </c>
      <c r="O66" s="30" t="str">
        <f t="shared" si="3"/>
        <v>P10S2A48</v>
      </c>
      <c r="P66" s="30">
        <v>2943</v>
      </c>
      <c r="Q66" s="30">
        <v>10</v>
      </c>
      <c r="R66" s="30">
        <v>2</v>
      </c>
      <c r="S66" s="30">
        <v>48</v>
      </c>
      <c r="T66" s="31">
        <v>1935</v>
      </c>
      <c r="V66" s="30" t="str">
        <f t="shared" si="4"/>
        <v>P10S2A48</v>
      </c>
      <c r="W66" s="30">
        <v>2223</v>
      </c>
      <c r="X66" s="30">
        <v>10</v>
      </c>
      <c r="Y66" s="30">
        <v>2</v>
      </c>
      <c r="Z66" s="30">
        <v>48</v>
      </c>
      <c r="AA66" s="31">
        <v>15126</v>
      </c>
      <c r="AC66" s="144" t="str">
        <f t="shared" ref="AC66:AC129" si="8">"P"&amp;REPT("0",2-LEN(AE66))&amp;AE66&amp;"S"&amp;AF66&amp;"A"&amp;REPT("0",2-LEN(AG66))&amp;AG66</f>
        <v>P10S2A38</v>
      </c>
      <c r="AD66" s="144"/>
      <c r="AE66" s="142">
        <v>10</v>
      </c>
      <c r="AF66" s="142">
        <v>2</v>
      </c>
      <c r="AG66" s="142">
        <v>38</v>
      </c>
      <c r="AH66" s="143">
        <v>1504</v>
      </c>
      <c r="AJ66" s="142" t="str">
        <f t="shared" si="6"/>
        <v>P10S1A65</v>
      </c>
      <c r="AK66" s="142"/>
      <c r="AL66" s="142">
        <v>10</v>
      </c>
      <c r="AM66" s="142">
        <v>1</v>
      </c>
      <c r="AN66" s="142">
        <v>65</v>
      </c>
      <c r="AO66" s="143">
        <v>1383</v>
      </c>
      <c r="AQ66" s="163" t="str">
        <f t="shared" ref="AQ66:AQ97" si="9">"P"&amp;REPT("0",2-LEN(AS66))&amp;AS66&amp;"S"&amp;AT66&amp;"A"&amp;REPT("0",2-LEN(AU66))&amp;AU66</f>
        <v>P10S2A38</v>
      </c>
      <c r="AR66" s="163"/>
      <c r="AS66" s="163">
        <v>10</v>
      </c>
      <c r="AT66" s="163">
        <v>2</v>
      </c>
      <c r="AU66" s="165">
        <v>38</v>
      </c>
      <c r="AV66" s="164">
        <v>297</v>
      </c>
    </row>
    <row r="67" spans="1:48">
      <c r="A67" s="30" t="str">
        <f t="shared" ref="A67:A130" si="10">"P"&amp;REPT("0",2-LEN(C67))&amp;C67&amp;"S"&amp;D67&amp;"A"&amp;REPT("0",2-LEN(E67))&amp;E67</f>
        <v>P01S1A65</v>
      </c>
      <c r="B67" s="30"/>
      <c r="C67" s="30">
        <v>1</v>
      </c>
      <c r="D67" s="30">
        <v>1</v>
      </c>
      <c r="E67" s="30">
        <v>65</v>
      </c>
      <c r="F67" s="31">
        <v>12853</v>
      </c>
      <c r="H67" s="30" t="str">
        <f t="shared" ref="H67:H130" si="11">"P"&amp;REPT("0",2-LEN(J67))&amp;J67&amp;"S"&amp;K67&amp;"A"&amp;REPT("0",2-LEN(L67))&amp;L67</f>
        <v>P15S2A04</v>
      </c>
      <c r="I67" s="30"/>
      <c r="J67" s="30">
        <v>15</v>
      </c>
      <c r="K67" s="30">
        <v>2</v>
      </c>
      <c r="L67" s="30">
        <v>4</v>
      </c>
      <c r="M67" s="31">
        <v>1712</v>
      </c>
      <c r="O67" s="30" t="str">
        <f t="shared" ref="O67:O130" si="12">"P"&amp;REPT("0",2-LEN(Q67))&amp;Q67&amp;"S"&amp;R67&amp;"A"&amp;REPT("0",2-LEN(S67))&amp;S67</f>
        <v>P10S2A49</v>
      </c>
      <c r="P67" s="30">
        <v>2943</v>
      </c>
      <c r="Q67" s="30">
        <v>10</v>
      </c>
      <c r="R67" s="30">
        <v>2</v>
      </c>
      <c r="S67" s="30">
        <v>49</v>
      </c>
      <c r="T67" s="31">
        <v>1781</v>
      </c>
      <c r="V67" s="30" t="str">
        <f t="shared" ref="V67:V130" si="13">"P"&amp;REPT("0",2-LEN(X67))&amp;X67&amp;"S"&amp;Y67&amp;"A"&amp;REPT("0",2-LEN(Z67))&amp;Z67</f>
        <v>P10S2A49</v>
      </c>
      <c r="W67" s="30">
        <v>2223</v>
      </c>
      <c r="X67" s="30">
        <v>10</v>
      </c>
      <c r="Y67" s="30">
        <v>2</v>
      </c>
      <c r="Z67" s="30">
        <v>49</v>
      </c>
      <c r="AA67" s="31">
        <v>15086</v>
      </c>
      <c r="AC67" s="144" t="str">
        <f t="shared" si="8"/>
        <v>P10S2A39</v>
      </c>
      <c r="AD67" s="144"/>
      <c r="AE67" s="144">
        <v>10</v>
      </c>
      <c r="AF67" s="144">
        <v>2</v>
      </c>
      <c r="AG67" s="144">
        <v>39</v>
      </c>
      <c r="AH67" s="143">
        <v>1507</v>
      </c>
      <c r="AJ67" s="142" t="str">
        <f t="shared" ref="AJ67:AJ130" si="14">"P"&amp;REPT("0",2-LEN(AL67))&amp;AL67&amp;"S"&amp;AM67&amp;"A"&amp;REPT("0",2-LEN(AN67))&amp;AN67</f>
        <v>P10S2A01</v>
      </c>
      <c r="AK67" s="142"/>
      <c r="AL67" s="142">
        <v>10</v>
      </c>
      <c r="AM67" s="142">
        <v>2</v>
      </c>
      <c r="AN67" s="142">
        <v>1</v>
      </c>
      <c r="AO67" s="143">
        <v>1098</v>
      </c>
      <c r="AQ67" s="163" t="str">
        <f t="shared" si="9"/>
        <v>P10S2A39</v>
      </c>
      <c r="AR67" s="163"/>
      <c r="AS67" s="165">
        <v>10</v>
      </c>
      <c r="AT67" s="163">
        <v>2</v>
      </c>
      <c r="AU67" s="163">
        <v>39</v>
      </c>
      <c r="AV67" s="166">
        <v>308</v>
      </c>
    </row>
    <row r="68" spans="1:48">
      <c r="A68" s="30" t="str">
        <f t="shared" si="10"/>
        <v>P01S1A66</v>
      </c>
      <c r="B68" s="30"/>
      <c r="C68" s="30">
        <v>1</v>
      </c>
      <c r="D68" s="30">
        <v>1</v>
      </c>
      <c r="E68" s="30">
        <v>66</v>
      </c>
      <c r="F68" s="31">
        <v>13523</v>
      </c>
      <c r="H68" s="30" t="str">
        <f t="shared" si="11"/>
        <v>P15S2A05</v>
      </c>
      <c r="I68" s="30"/>
      <c r="J68" s="30">
        <v>15</v>
      </c>
      <c r="K68" s="30">
        <v>2</v>
      </c>
      <c r="L68" s="30">
        <v>5</v>
      </c>
      <c r="M68" s="31">
        <v>1712</v>
      </c>
      <c r="O68" s="30" t="str">
        <f t="shared" si="12"/>
        <v>P10S2A50</v>
      </c>
      <c r="P68" s="30">
        <v>2943</v>
      </c>
      <c r="Q68" s="30">
        <v>10</v>
      </c>
      <c r="R68" s="30">
        <v>2</v>
      </c>
      <c r="S68" s="30">
        <v>50</v>
      </c>
      <c r="T68" s="31">
        <v>1628</v>
      </c>
      <c r="V68" s="30" t="str">
        <f t="shared" si="13"/>
        <v>P10S2A50</v>
      </c>
      <c r="W68" s="30">
        <v>2223</v>
      </c>
      <c r="X68" s="30">
        <v>10</v>
      </c>
      <c r="Y68" s="30">
        <v>2</v>
      </c>
      <c r="Z68" s="30">
        <v>50</v>
      </c>
      <c r="AA68" s="31">
        <v>15048</v>
      </c>
      <c r="AC68" s="144" t="str">
        <f t="shared" si="8"/>
        <v>P10S2A40</v>
      </c>
      <c r="AD68" s="144"/>
      <c r="AE68" s="142">
        <v>10</v>
      </c>
      <c r="AF68" s="142">
        <v>2</v>
      </c>
      <c r="AG68" s="142">
        <v>40</v>
      </c>
      <c r="AH68" s="143">
        <v>1509</v>
      </c>
      <c r="AJ68" s="142" t="str">
        <f t="shared" si="14"/>
        <v>P10S2A02</v>
      </c>
      <c r="AK68" s="142"/>
      <c r="AL68" s="142">
        <v>10</v>
      </c>
      <c r="AM68" s="142">
        <v>2</v>
      </c>
      <c r="AN68" s="142">
        <v>2</v>
      </c>
      <c r="AO68" s="143">
        <v>1109</v>
      </c>
      <c r="AQ68" s="163" t="str">
        <f t="shared" si="9"/>
        <v>P10S2A40</v>
      </c>
      <c r="AR68" s="163"/>
      <c r="AS68" s="165">
        <v>10</v>
      </c>
      <c r="AT68" s="163">
        <v>2</v>
      </c>
      <c r="AU68" s="163">
        <v>40</v>
      </c>
      <c r="AV68" s="166">
        <v>319</v>
      </c>
    </row>
    <row r="69" spans="1:48">
      <c r="A69" s="30" t="str">
        <f t="shared" si="10"/>
        <v>P01S1A67</v>
      </c>
      <c r="B69" s="30"/>
      <c r="C69" s="30">
        <v>1</v>
      </c>
      <c r="D69" s="30">
        <v>1</v>
      </c>
      <c r="E69" s="30">
        <v>67</v>
      </c>
      <c r="F69" s="31">
        <v>14194</v>
      </c>
      <c r="H69" s="30" t="str">
        <f t="shared" si="11"/>
        <v>P15S2A06</v>
      </c>
      <c r="I69" s="30"/>
      <c r="J69" s="30">
        <v>15</v>
      </c>
      <c r="K69" s="30">
        <v>2</v>
      </c>
      <c r="L69" s="30">
        <v>6</v>
      </c>
      <c r="M69" s="31">
        <v>1714</v>
      </c>
      <c r="O69" s="30" t="str">
        <f t="shared" si="12"/>
        <v>P10S2A51</v>
      </c>
      <c r="P69" s="30">
        <v>2943</v>
      </c>
      <c r="Q69" s="30">
        <v>10</v>
      </c>
      <c r="R69" s="30">
        <v>2</v>
      </c>
      <c r="S69" s="30">
        <v>51</v>
      </c>
      <c r="T69" s="31">
        <v>1477.9999999999998</v>
      </c>
      <c r="V69" s="30" t="str">
        <f t="shared" si="13"/>
        <v>P10S2A51</v>
      </c>
      <c r="W69" s="30">
        <v>2223</v>
      </c>
      <c r="X69" s="30">
        <v>10</v>
      </c>
      <c r="Y69" s="30">
        <v>2</v>
      </c>
      <c r="Z69" s="30">
        <v>51</v>
      </c>
      <c r="AA69" s="31">
        <v>15012</v>
      </c>
      <c r="AC69" s="144" t="str">
        <f t="shared" si="8"/>
        <v>P10S2A41</v>
      </c>
      <c r="AD69" s="144"/>
      <c r="AE69" s="144">
        <v>10</v>
      </c>
      <c r="AF69" s="144">
        <v>2</v>
      </c>
      <c r="AG69" s="144">
        <v>41</v>
      </c>
      <c r="AH69" s="143">
        <v>1511</v>
      </c>
      <c r="AJ69" s="142" t="str">
        <f t="shared" si="14"/>
        <v>P10S2A03</v>
      </c>
      <c r="AK69" s="142"/>
      <c r="AL69" s="142">
        <v>10</v>
      </c>
      <c r="AM69" s="142">
        <v>2</v>
      </c>
      <c r="AN69" s="142">
        <v>3</v>
      </c>
      <c r="AO69" s="143">
        <v>1120</v>
      </c>
      <c r="AQ69" s="163" t="str">
        <f t="shared" si="9"/>
        <v>P10S2A41</v>
      </c>
      <c r="AR69" s="163"/>
      <c r="AS69" s="165">
        <v>10</v>
      </c>
      <c r="AT69" s="163">
        <v>2</v>
      </c>
      <c r="AU69" s="163">
        <v>41</v>
      </c>
      <c r="AV69" s="166">
        <v>327</v>
      </c>
    </row>
    <row r="70" spans="1:48">
      <c r="A70" s="30" t="str">
        <f t="shared" si="10"/>
        <v>P01S1A68</v>
      </c>
      <c r="B70" s="30"/>
      <c r="C70" s="30">
        <v>1</v>
      </c>
      <c r="D70" s="30">
        <v>1</v>
      </c>
      <c r="E70" s="30">
        <v>68</v>
      </c>
      <c r="F70" s="31">
        <v>14701</v>
      </c>
      <c r="H70" s="30" t="str">
        <f t="shared" si="11"/>
        <v>P15S2A07</v>
      </c>
      <c r="I70" s="30"/>
      <c r="J70" s="30">
        <v>15</v>
      </c>
      <c r="K70" s="30">
        <v>2</v>
      </c>
      <c r="L70" s="30">
        <v>7</v>
      </c>
      <c r="M70" s="31">
        <v>1716</v>
      </c>
      <c r="O70" s="30" t="str">
        <f t="shared" si="12"/>
        <v>P10S2A52</v>
      </c>
      <c r="P70" s="30">
        <v>2943</v>
      </c>
      <c r="Q70" s="30">
        <v>10</v>
      </c>
      <c r="R70" s="30">
        <v>2</v>
      </c>
      <c r="S70" s="30">
        <v>52</v>
      </c>
      <c r="T70" s="31">
        <v>1332.0000000000002</v>
      </c>
      <c r="V70" s="30" t="str">
        <f t="shared" si="13"/>
        <v>P10S2A52</v>
      </c>
      <c r="W70" s="30">
        <v>2223</v>
      </c>
      <c r="X70" s="30">
        <v>10</v>
      </c>
      <c r="Y70" s="30">
        <v>2</v>
      </c>
      <c r="Z70" s="30">
        <v>52</v>
      </c>
      <c r="AA70" s="31">
        <v>14978</v>
      </c>
      <c r="AC70" s="144" t="str">
        <f t="shared" si="8"/>
        <v>P10S2A42</v>
      </c>
      <c r="AD70" s="144"/>
      <c r="AE70" s="142">
        <v>10</v>
      </c>
      <c r="AF70" s="142">
        <v>2</v>
      </c>
      <c r="AG70" s="142">
        <v>42</v>
      </c>
      <c r="AH70" s="143">
        <v>1513</v>
      </c>
      <c r="AJ70" s="142" t="str">
        <f t="shared" si="14"/>
        <v>P10S2A04</v>
      </c>
      <c r="AK70" s="142"/>
      <c r="AL70" s="142">
        <v>10</v>
      </c>
      <c r="AM70" s="142">
        <v>2</v>
      </c>
      <c r="AN70" s="142">
        <v>4</v>
      </c>
      <c r="AO70" s="143">
        <v>1131</v>
      </c>
      <c r="AQ70" s="163" t="str">
        <f t="shared" si="9"/>
        <v>P10S2A42</v>
      </c>
      <c r="AR70" s="163"/>
      <c r="AS70" s="165">
        <v>10</v>
      </c>
      <c r="AT70" s="163">
        <v>2</v>
      </c>
      <c r="AU70" s="163">
        <v>42</v>
      </c>
      <c r="AV70" s="166">
        <v>336</v>
      </c>
    </row>
    <row r="71" spans="1:48">
      <c r="A71" s="30" t="str">
        <f t="shared" si="10"/>
        <v>P01S1A69</v>
      </c>
      <c r="B71" s="30"/>
      <c r="C71" s="30">
        <v>1</v>
      </c>
      <c r="D71" s="30">
        <v>1</v>
      </c>
      <c r="E71" s="30">
        <v>69</v>
      </c>
      <c r="F71" s="31">
        <v>15208</v>
      </c>
      <c r="H71" s="30" t="str">
        <f t="shared" si="11"/>
        <v>P15S2A08</v>
      </c>
      <c r="I71" s="30"/>
      <c r="J71" s="30">
        <v>15</v>
      </c>
      <c r="K71" s="30">
        <v>2</v>
      </c>
      <c r="L71" s="30">
        <v>8</v>
      </c>
      <c r="M71" s="31">
        <v>1718</v>
      </c>
      <c r="O71" s="30" t="str">
        <f t="shared" si="12"/>
        <v>P10S2A53</v>
      </c>
      <c r="P71" s="30">
        <v>2943</v>
      </c>
      <c r="Q71" s="30">
        <v>10</v>
      </c>
      <c r="R71" s="30">
        <v>2</v>
      </c>
      <c r="S71" s="30">
        <v>53</v>
      </c>
      <c r="T71" s="31">
        <v>1189</v>
      </c>
      <c r="V71" s="30" t="str">
        <f t="shared" si="13"/>
        <v>P10S2A53</v>
      </c>
      <c r="W71" s="30">
        <v>2223</v>
      </c>
      <c r="X71" s="30">
        <v>10</v>
      </c>
      <c r="Y71" s="30">
        <v>2</v>
      </c>
      <c r="Z71" s="30">
        <v>53</v>
      </c>
      <c r="AA71" s="31">
        <v>14946</v>
      </c>
      <c r="AC71" s="144" t="str">
        <f t="shared" si="8"/>
        <v>P10S2A43</v>
      </c>
      <c r="AD71" s="144"/>
      <c r="AE71" s="144">
        <v>10</v>
      </c>
      <c r="AF71" s="144">
        <v>2</v>
      </c>
      <c r="AG71" s="144">
        <v>43</v>
      </c>
      <c r="AH71" s="143">
        <v>1515</v>
      </c>
      <c r="AJ71" s="142" t="str">
        <f t="shared" si="14"/>
        <v>P10S2A05</v>
      </c>
      <c r="AK71" s="142"/>
      <c r="AL71" s="142">
        <v>10</v>
      </c>
      <c r="AM71" s="142">
        <v>2</v>
      </c>
      <c r="AN71" s="142">
        <v>5</v>
      </c>
      <c r="AO71" s="143">
        <v>1142</v>
      </c>
      <c r="AQ71" s="163" t="str">
        <f t="shared" si="9"/>
        <v>P10S2A43</v>
      </c>
      <c r="AR71" s="163"/>
      <c r="AS71" s="165">
        <v>10</v>
      </c>
      <c r="AT71" s="163">
        <v>2</v>
      </c>
      <c r="AU71" s="163">
        <v>43</v>
      </c>
      <c r="AV71" s="166">
        <v>346</v>
      </c>
    </row>
    <row r="72" spans="1:48">
      <c r="A72" s="30" t="str">
        <f t="shared" si="10"/>
        <v>P01S1A70</v>
      </c>
      <c r="B72" s="30"/>
      <c r="C72" s="30">
        <v>1</v>
      </c>
      <c r="D72" s="30">
        <v>1</v>
      </c>
      <c r="E72" s="30">
        <v>70</v>
      </c>
      <c r="F72" s="31">
        <v>15323</v>
      </c>
      <c r="H72" s="30" t="str">
        <f t="shared" si="11"/>
        <v>P15S2A09</v>
      </c>
      <c r="I72" s="30"/>
      <c r="J72" s="30">
        <v>15</v>
      </c>
      <c r="K72" s="30">
        <v>2</v>
      </c>
      <c r="L72" s="30">
        <v>9</v>
      </c>
      <c r="M72" s="31">
        <v>1720</v>
      </c>
      <c r="O72" s="30" t="str">
        <f t="shared" si="12"/>
        <v>P10S2A54</v>
      </c>
      <c r="P72" s="30">
        <v>2943</v>
      </c>
      <c r="Q72" s="30">
        <v>10</v>
      </c>
      <c r="R72" s="30">
        <v>2</v>
      </c>
      <c r="S72" s="30">
        <v>54</v>
      </c>
      <c r="T72" s="31">
        <v>1050</v>
      </c>
      <c r="V72" s="30" t="str">
        <f t="shared" si="13"/>
        <v>P10S2A54</v>
      </c>
      <c r="W72" s="30">
        <v>2223</v>
      </c>
      <c r="X72" s="30">
        <v>10</v>
      </c>
      <c r="Y72" s="30">
        <v>2</v>
      </c>
      <c r="Z72" s="30">
        <v>54</v>
      </c>
      <c r="AA72" s="31">
        <v>14915</v>
      </c>
      <c r="AC72" s="144" t="str">
        <f t="shared" si="8"/>
        <v>P10S2A44</v>
      </c>
      <c r="AD72" s="144"/>
      <c r="AE72" s="142">
        <v>10</v>
      </c>
      <c r="AF72" s="142">
        <v>2</v>
      </c>
      <c r="AG72" s="142">
        <v>44</v>
      </c>
      <c r="AH72" s="143">
        <v>1516</v>
      </c>
      <c r="AJ72" s="142" t="str">
        <f t="shared" si="14"/>
        <v>P10S2A06</v>
      </c>
      <c r="AK72" s="142"/>
      <c r="AL72" s="142">
        <v>10</v>
      </c>
      <c r="AM72" s="142">
        <v>2</v>
      </c>
      <c r="AN72" s="142">
        <v>6</v>
      </c>
      <c r="AO72" s="143">
        <v>1153</v>
      </c>
      <c r="AQ72" s="163" t="str">
        <f t="shared" si="9"/>
        <v>P10S2A44</v>
      </c>
      <c r="AR72" s="163"/>
      <c r="AS72" s="165">
        <v>10</v>
      </c>
      <c r="AT72" s="163">
        <v>2</v>
      </c>
      <c r="AU72" s="163">
        <v>44</v>
      </c>
      <c r="AV72" s="166">
        <v>358</v>
      </c>
    </row>
    <row r="73" spans="1:48">
      <c r="A73" s="30" t="str">
        <f t="shared" si="10"/>
        <v>P01S1A71</v>
      </c>
      <c r="B73" s="30"/>
      <c r="C73" s="30">
        <v>1</v>
      </c>
      <c r="D73" s="30">
        <v>1</v>
      </c>
      <c r="E73" s="30">
        <v>71</v>
      </c>
      <c r="F73" s="31">
        <v>15816</v>
      </c>
      <c r="H73" s="30" t="str">
        <f t="shared" si="11"/>
        <v>P15S2A10</v>
      </c>
      <c r="I73" s="30"/>
      <c r="J73" s="30">
        <v>15</v>
      </c>
      <c r="K73" s="30">
        <v>2</v>
      </c>
      <c r="L73" s="30">
        <v>10</v>
      </c>
      <c r="M73" s="31">
        <v>1722</v>
      </c>
      <c r="O73" s="30" t="str">
        <f t="shared" si="12"/>
        <v>P10S2A55</v>
      </c>
      <c r="P73" s="30">
        <v>2943</v>
      </c>
      <c r="Q73" s="30">
        <v>10</v>
      </c>
      <c r="R73" s="30">
        <v>2</v>
      </c>
      <c r="S73" s="30">
        <v>55</v>
      </c>
      <c r="T73" s="31">
        <v>916</v>
      </c>
      <c r="V73" s="30" t="str">
        <f t="shared" si="13"/>
        <v>P10S2A55</v>
      </c>
      <c r="W73" s="30">
        <v>2223</v>
      </c>
      <c r="X73" s="30">
        <v>10</v>
      </c>
      <c r="Y73" s="30">
        <v>2</v>
      </c>
      <c r="Z73" s="30">
        <v>55</v>
      </c>
      <c r="AA73" s="31">
        <v>14887.999999999998</v>
      </c>
      <c r="AC73" s="144" t="str">
        <f t="shared" si="8"/>
        <v>P10S2A45</v>
      </c>
      <c r="AD73" s="144"/>
      <c r="AE73" s="144">
        <v>10</v>
      </c>
      <c r="AF73" s="144">
        <v>2</v>
      </c>
      <c r="AG73" s="144">
        <v>45</v>
      </c>
      <c r="AH73" s="143">
        <v>1519</v>
      </c>
      <c r="AJ73" s="142" t="str">
        <f t="shared" si="14"/>
        <v>P10S2A07</v>
      </c>
      <c r="AK73" s="142"/>
      <c r="AL73" s="142">
        <v>10</v>
      </c>
      <c r="AM73" s="142">
        <v>2</v>
      </c>
      <c r="AN73" s="142">
        <v>7</v>
      </c>
      <c r="AO73" s="143">
        <v>1164</v>
      </c>
      <c r="AQ73" s="163" t="str">
        <f t="shared" si="9"/>
        <v>P10S2A45</v>
      </c>
      <c r="AR73" s="163"/>
      <c r="AS73" s="165">
        <v>10</v>
      </c>
      <c r="AT73" s="163">
        <v>2</v>
      </c>
      <c r="AU73" s="163">
        <v>45</v>
      </c>
      <c r="AV73" s="166">
        <v>371</v>
      </c>
    </row>
    <row r="74" spans="1:48">
      <c r="A74" s="30" t="str">
        <f t="shared" si="10"/>
        <v>P01S1A72</v>
      </c>
      <c r="B74" s="30"/>
      <c r="C74" s="30">
        <v>1</v>
      </c>
      <c r="D74" s="30">
        <v>1</v>
      </c>
      <c r="E74" s="30">
        <v>72</v>
      </c>
      <c r="F74" s="31">
        <v>16309</v>
      </c>
      <c r="H74" s="30" t="str">
        <f t="shared" si="11"/>
        <v>P15S2A11</v>
      </c>
      <c r="I74" s="30"/>
      <c r="J74" s="30">
        <v>15</v>
      </c>
      <c r="K74" s="30">
        <v>2</v>
      </c>
      <c r="L74" s="30">
        <v>11</v>
      </c>
      <c r="M74" s="31">
        <v>1727</v>
      </c>
      <c r="O74" s="30" t="str">
        <f t="shared" si="12"/>
        <v>P20S1A20</v>
      </c>
      <c r="P74" s="30">
        <v>2943</v>
      </c>
      <c r="Q74" s="30">
        <v>20</v>
      </c>
      <c r="R74" s="30">
        <v>1</v>
      </c>
      <c r="S74" s="30">
        <v>20</v>
      </c>
      <c r="T74" s="31">
        <v>6684</v>
      </c>
      <c r="V74" s="30" t="str">
        <f t="shared" si="13"/>
        <v>P15S1A20</v>
      </c>
      <c r="W74" s="30">
        <v>2223</v>
      </c>
      <c r="X74" s="30">
        <v>15</v>
      </c>
      <c r="Y74" s="30">
        <v>1</v>
      </c>
      <c r="Z74" s="30">
        <v>20</v>
      </c>
      <c r="AA74" s="31">
        <v>15295</v>
      </c>
      <c r="AC74" s="144" t="str">
        <f t="shared" si="8"/>
        <v>P10S2A46</v>
      </c>
      <c r="AD74" s="144"/>
      <c r="AE74" s="142">
        <v>10</v>
      </c>
      <c r="AF74" s="142">
        <v>2</v>
      </c>
      <c r="AG74" s="142">
        <v>46</v>
      </c>
      <c r="AH74" s="143">
        <v>1521</v>
      </c>
      <c r="AJ74" s="142" t="str">
        <f t="shared" si="14"/>
        <v>P10S2A08</v>
      </c>
      <c r="AK74" s="142"/>
      <c r="AL74" s="142">
        <v>10</v>
      </c>
      <c r="AM74" s="142">
        <v>2</v>
      </c>
      <c r="AN74" s="142">
        <v>8</v>
      </c>
      <c r="AO74" s="143">
        <v>1175</v>
      </c>
      <c r="AQ74" s="163" t="str">
        <f t="shared" si="9"/>
        <v>P10S2A46</v>
      </c>
      <c r="AR74" s="163"/>
      <c r="AS74" s="165">
        <v>10</v>
      </c>
      <c r="AT74" s="163">
        <v>2</v>
      </c>
      <c r="AU74" s="163">
        <v>46</v>
      </c>
      <c r="AV74" s="166">
        <v>381</v>
      </c>
    </row>
    <row r="75" spans="1:48">
      <c r="A75" s="30" t="str">
        <f t="shared" si="10"/>
        <v>P01S1A73</v>
      </c>
      <c r="B75" s="30"/>
      <c r="C75" s="30">
        <v>1</v>
      </c>
      <c r="D75" s="30">
        <v>1</v>
      </c>
      <c r="E75" s="30">
        <v>73</v>
      </c>
      <c r="F75" s="31">
        <v>17138</v>
      </c>
      <c r="H75" s="30" t="str">
        <f t="shared" si="11"/>
        <v>P15S2A12</v>
      </c>
      <c r="I75" s="30"/>
      <c r="J75" s="30">
        <v>15</v>
      </c>
      <c r="K75" s="30">
        <v>2</v>
      </c>
      <c r="L75" s="30">
        <v>12</v>
      </c>
      <c r="M75" s="31">
        <v>1755</v>
      </c>
      <c r="O75" s="30" t="str">
        <f t="shared" si="12"/>
        <v>P20S1A21</v>
      </c>
      <c r="P75" s="30">
        <v>2943</v>
      </c>
      <c r="Q75" s="30">
        <v>20</v>
      </c>
      <c r="R75" s="30">
        <v>1</v>
      </c>
      <c r="S75" s="30">
        <v>21</v>
      </c>
      <c r="T75" s="31">
        <v>6559</v>
      </c>
      <c r="V75" s="30" t="str">
        <f t="shared" si="13"/>
        <v>P15S1A21</v>
      </c>
      <c r="W75" s="30">
        <v>2223</v>
      </c>
      <c r="X75" s="30">
        <v>15</v>
      </c>
      <c r="Y75" s="30">
        <v>1</v>
      </c>
      <c r="Z75" s="30">
        <v>21</v>
      </c>
      <c r="AA75" s="31">
        <v>15223</v>
      </c>
      <c r="AC75" s="144" t="str">
        <f t="shared" si="8"/>
        <v>P10S2A47</v>
      </c>
      <c r="AD75" s="144"/>
      <c r="AE75" s="144">
        <v>10</v>
      </c>
      <c r="AF75" s="144">
        <v>2</v>
      </c>
      <c r="AG75" s="144">
        <v>47</v>
      </c>
      <c r="AH75" s="143">
        <v>1524</v>
      </c>
      <c r="AJ75" s="142" t="str">
        <f t="shared" si="14"/>
        <v>P10S2A09</v>
      </c>
      <c r="AK75" s="142"/>
      <c r="AL75" s="142">
        <v>10</v>
      </c>
      <c r="AM75" s="142">
        <v>2</v>
      </c>
      <c r="AN75" s="142">
        <v>9</v>
      </c>
      <c r="AO75" s="143">
        <v>1187</v>
      </c>
      <c r="AQ75" s="163" t="str">
        <f t="shared" si="9"/>
        <v>P10S2A47</v>
      </c>
      <c r="AR75" s="163"/>
      <c r="AS75" s="165">
        <v>10</v>
      </c>
      <c r="AT75" s="163">
        <v>2</v>
      </c>
      <c r="AU75" s="163">
        <v>47</v>
      </c>
      <c r="AV75" s="166">
        <v>393</v>
      </c>
    </row>
    <row r="76" spans="1:48">
      <c r="A76" s="30" t="str">
        <f t="shared" si="10"/>
        <v>P01S1A74</v>
      </c>
      <c r="B76" s="30"/>
      <c r="C76" s="30">
        <v>1</v>
      </c>
      <c r="D76" s="30">
        <v>1</v>
      </c>
      <c r="E76" s="30">
        <v>74</v>
      </c>
      <c r="F76" s="31">
        <v>17966</v>
      </c>
      <c r="H76" s="30" t="str">
        <f t="shared" si="11"/>
        <v>P15S2A13</v>
      </c>
      <c r="I76" s="30"/>
      <c r="J76" s="30">
        <v>15</v>
      </c>
      <c r="K76" s="30">
        <v>2</v>
      </c>
      <c r="L76" s="30">
        <v>13</v>
      </c>
      <c r="M76" s="31">
        <v>1775</v>
      </c>
      <c r="O76" s="30" t="str">
        <f t="shared" si="12"/>
        <v>P20S1A22</v>
      </c>
      <c r="P76" s="30">
        <v>2943</v>
      </c>
      <c r="Q76" s="30">
        <v>20</v>
      </c>
      <c r="R76" s="30">
        <v>1</v>
      </c>
      <c r="S76" s="30">
        <v>22</v>
      </c>
      <c r="T76" s="31">
        <v>6435</v>
      </c>
      <c r="V76" s="30" t="str">
        <f t="shared" si="13"/>
        <v>P15S1A22</v>
      </c>
      <c r="W76" s="30">
        <v>2223</v>
      </c>
      <c r="X76" s="30">
        <v>15</v>
      </c>
      <c r="Y76" s="30">
        <v>1</v>
      </c>
      <c r="Z76" s="30">
        <v>22</v>
      </c>
      <c r="AA76" s="31">
        <v>15155</v>
      </c>
      <c r="AC76" s="144" t="str">
        <f t="shared" si="8"/>
        <v>P10S2A48</v>
      </c>
      <c r="AD76" s="144"/>
      <c r="AE76" s="142">
        <v>10</v>
      </c>
      <c r="AF76" s="142">
        <v>2</v>
      </c>
      <c r="AG76" s="142">
        <v>48</v>
      </c>
      <c r="AH76" s="143">
        <v>1526</v>
      </c>
      <c r="AJ76" s="142" t="str">
        <f t="shared" si="14"/>
        <v>P10S2A10</v>
      </c>
      <c r="AK76" s="142"/>
      <c r="AL76" s="142">
        <v>10</v>
      </c>
      <c r="AM76" s="142">
        <v>2</v>
      </c>
      <c r="AN76" s="142">
        <v>10</v>
      </c>
      <c r="AO76" s="143">
        <v>1198</v>
      </c>
      <c r="AQ76" s="163" t="str">
        <f t="shared" si="9"/>
        <v>P10S2A48</v>
      </c>
      <c r="AR76" s="163"/>
      <c r="AS76" s="165">
        <v>10</v>
      </c>
      <c r="AT76" s="163">
        <v>2</v>
      </c>
      <c r="AU76" s="163">
        <v>48</v>
      </c>
      <c r="AV76" s="166">
        <v>406</v>
      </c>
    </row>
    <row r="77" spans="1:48">
      <c r="A77" s="30" t="str">
        <f t="shared" si="10"/>
        <v>P01S1A75</v>
      </c>
      <c r="B77" s="30"/>
      <c r="C77" s="30">
        <v>1</v>
      </c>
      <c r="D77" s="30">
        <v>1</v>
      </c>
      <c r="E77" s="30">
        <v>75</v>
      </c>
      <c r="F77" s="31">
        <v>18823</v>
      </c>
      <c r="H77" s="30" t="str">
        <f t="shared" si="11"/>
        <v>P15S2A14</v>
      </c>
      <c r="I77" s="30"/>
      <c r="J77" s="30">
        <v>15</v>
      </c>
      <c r="K77" s="30">
        <v>2</v>
      </c>
      <c r="L77" s="30">
        <v>14</v>
      </c>
      <c r="M77" s="31">
        <v>1800</v>
      </c>
      <c r="O77" s="30" t="str">
        <f t="shared" si="12"/>
        <v>P20S1A23</v>
      </c>
      <c r="P77" s="30">
        <v>2943</v>
      </c>
      <c r="Q77" s="30">
        <v>20</v>
      </c>
      <c r="R77" s="30">
        <v>1</v>
      </c>
      <c r="S77" s="30">
        <v>23</v>
      </c>
      <c r="T77" s="31">
        <v>6312</v>
      </c>
      <c r="V77" s="30" t="str">
        <f t="shared" si="13"/>
        <v>P15S1A23</v>
      </c>
      <c r="W77" s="30">
        <v>2223</v>
      </c>
      <c r="X77" s="30">
        <v>15</v>
      </c>
      <c r="Y77" s="30">
        <v>1</v>
      </c>
      <c r="Z77" s="30">
        <v>23</v>
      </c>
      <c r="AA77" s="31">
        <v>15088</v>
      </c>
      <c r="AC77" s="144" t="str">
        <f t="shared" si="8"/>
        <v>P10S2A49</v>
      </c>
      <c r="AD77" s="144"/>
      <c r="AE77" s="144">
        <v>10</v>
      </c>
      <c r="AF77" s="144">
        <v>2</v>
      </c>
      <c r="AG77" s="144">
        <v>49</v>
      </c>
      <c r="AH77" s="143">
        <v>1528</v>
      </c>
      <c r="AJ77" s="142" t="str">
        <f t="shared" si="14"/>
        <v>P10S2A11</v>
      </c>
      <c r="AK77" s="142"/>
      <c r="AL77" s="142">
        <v>10</v>
      </c>
      <c r="AM77" s="142">
        <v>2</v>
      </c>
      <c r="AN77" s="142">
        <v>11</v>
      </c>
      <c r="AO77" s="143">
        <v>1210</v>
      </c>
      <c r="AQ77" s="163" t="str">
        <f t="shared" si="9"/>
        <v>P10S2A49</v>
      </c>
      <c r="AR77" s="163"/>
      <c r="AS77" s="165">
        <v>10</v>
      </c>
      <c r="AT77" s="163">
        <v>2</v>
      </c>
      <c r="AU77" s="163">
        <v>49</v>
      </c>
      <c r="AV77" s="166">
        <v>421</v>
      </c>
    </row>
    <row r="78" spans="1:48">
      <c r="A78" s="30" t="str">
        <f t="shared" si="10"/>
        <v>P01S1A76</v>
      </c>
      <c r="B78" s="30"/>
      <c r="C78" s="30">
        <v>1</v>
      </c>
      <c r="D78" s="30">
        <v>1</v>
      </c>
      <c r="E78" s="30">
        <v>76</v>
      </c>
      <c r="F78" s="31">
        <v>19653</v>
      </c>
      <c r="H78" s="30" t="str">
        <f t="shared" si="11"/>
        <v>P15S2A15</v>
      </c>
      <c r="I78" s="30"/>
      <c r="J78" s="30">
        <v>15</v>
      </c>
      <c r="K78" s="30">
        <v>2</v>
      </c>
      <c r="L78" s="30">
        <v>15</v>
      </c>
      <c r="M78" s="31">
        <v>1820</v>
      </c>
      <c r="O78" s="30" t="str">
        <f t="shared" si="12"/>
        <v>P20S1A24</v>
      </c>
      <c r="P78" s="30">
        <v>2943</v>
      </c>
      <c r="Q78" s="30">
        <v>20</v>
      </c>
      <c r="R78" s="30">
        <v>1</v>
      </c>
      <c r="S78" s="30">
        <v>24</v>
      </c>
      <c r="T78" s="31">
        <v>6188</v>
      </c>
      <c r="V78" s="30" t="str">
        <f t="shared" si="13"/>
        <v>P15S1A24</v>
      </c>
      <c r="W78" s="30">
        <v>2223</v>
      </c>
      <c r="X78" s="30">
        <v>15</v>
      </c>
      <c r="Y78" s="30">
        <v>1</v>
      </c>
      <c r="Z78" s="30">
        <v>24</v>
      </c>
      <c r="AA78" s="31">
        <v>15023</v>
      </c>
      <c r="AC78" s="144" t="str">
        <f t="shared" si="8"/>
        <v>P10S2A50</v>
      </c>
      <c r="AD78" s="144"/>
      <c r="AE78" s="142">
        <v>10</v>
      </c>
      <c r="AF78" s="142">
        <v>2</v>
      </c>
      <c r="AG78" s="142">
        <v>50</v>
      </c>
      <c r="AH78" s="143">
        <v>1530</v>
      </c>
      <c r="AJ78" s="142" t="str">
        <f t="shared" si="14"/>
        <v>P10S2A12</v>
      </c>
      <c r="AK78" s="142"/>
      <c r="AL78" s="142">
        <v>10</v>
      </c>
      <c r="AM78" s="142">
        <v>2</v>
      </c>
      <c r="AN78" s="142">
        <v>12</v>
      </c>
      <c r="AO78" s="143">
        <v>1222</v>
      </c>
      <c r="AQ78" s="163" t="str">
        <f t="shared" si="9"/>
        <v>P10S2A50</v>
      </c>
      <c r="AR78" s="163"/>
      <c r="AS78" s="165">
        <v>10</v>
      </c>
      <c r="AT78" s="163">
        <v>2</v>
      </c>
      <c r="AU78" s="163">
        <v>50</v>
      </c>
      <c r="AV78" s="166">
        <v>439</v>
      </c>
    </row>
    <row r="79" spans="1:48">
      <c r="A79" s="30" t="str">
        <f t="shared" si="10"/>
        <v>P01S1A77</v>
      </c>
      <c r="B79" s="30"/>
      <c r="C79" s="30">
        <v>1</v>
      </c>
      <c r="D79" s="30">
        <v>1</v>
      </c>
      <c r="E79" s="30">
        <v>77</v>
      </c>
      <c r="F79" s="31">
        <v>20483</v>
      </c>
      <c r="H79" s="30" t="str">
        <f t="shared" si="11"/>
        <v>P15S2A16</v>
      </c>
      <c r="I79" s="30"/>
      <c r="J79" s="30">
        <v>15</v>
      </c>
      <c r="K79" s="30">
        <v>2</v>
      </c>
      <c r="L79" s="30">
        <v>16</v>
      </c>
      <c r="M79" s="31">
        <v>1842</v>
      </c>
      <c r="O79" s="30" t="str">
        <f t="shared" si="12"/>
        <v>P20S1A25</v>
      </c>
      <c r="P79" s="30">
        <v>2943</v>
      </c>
      <c r="Q79" s="30">
        <v>20</v>
      </c>
      <c r="R79" s="30">
        <v>1</v>
      </c>
      <c r="S79" s="30">
        <v>25</v>
      </c>
      <c r="T79" s="31">
        <v>6062.9999999999991</v>
      </c>
      <c r="V79" s="30" t="str">
        <f t="shared" si="13"/>
        <v>P15S1A25</v>
      </c>
      <c r="W79" s="30">
        <v>2223</v>
      </c>
      <c r="X79" s="30">
        <v>15</v>
      </c>
      <c r="Y79" s="30">
        <v>1</v>
      </c>
      <c r="Z79" s="30">
        <v>25</v>
      </c>
      <c r="AA79" s="31">
        <v>14957</v>
      </c>
      <c r="AC79" s="144" t="str">
        <f t="shared" si="8"/>
        <v>P10S2A51</v>
      </c>
      <c r="AD79" s="144"/>
      <c r="AE79" s="144">
        <v>10</v>
      </c>
      <c r="AF79" s="144">
        <v>2</v>
      </c>
      <c r="AG79" s="144">
        <v>51</v>
      </c>
      <c r="AH79" s="143">
        <v>1533</v>
      </c>
      <c r="AJ79" s="142" t="str">
        <f t="shared" si="14"/>
        <v>P10S2A13</v>
      </c>
      <c r="AK79" s="142"/>
      <c r="AL79" s="142">
        <v>10</v>
      </c>
      <c r="AM79" s="142">
        <v>2</v>
      </c>
      <c r="AN79" s="142">
        <v>13</v>
      </c>
      <c r="AO79" s="143">
        <v>1234</v>
      </c>
      <c r="AQ79" s="163" t="str">
        <f t="shared" si="9"/>
        <v>P10S2A51</v>
      </c>
      <c r="AR79" s="163"/>
      <c r="AS79" s="165">
        <v>10</v>
      </c>
      <c r="AT79" s="163">
        <v>2</v>
      </c>
      <c r="AU79" s="163">
        <v>51</v>
      </c>
      <c r="AV79" s="166">
        <v>456</v>
      </c>
    </row>
    <row r="80" spans="1:48">
      <c r="A80" s="30" t="str">
        <f t="shared" si="10"/>
        <v>P01S1A78</v>
      </c>
      <c r="B80" s="30"/>
      <c r="C80" s="30">
        <v>1</v>
      </c>
      <c r="D80" s="30">
        <v>1</v>
      </c>
      <c r="E80" s="30">
        <v>78</v>
      </c>
      <c r="F80" s="31">
        <v>21479</v>
      </c>
      <c r="H80" s="30" t="str">
        <f t="shared" si="11"/>
        <v>P15S2A17</v>
      </c>
      <c r="I80" s="30"/>
      <c r="J80" s="30">
        <v>15</v>
      </c>
      <c r="K80" s="30">
        <v>2</v>
      </c>
      <c r="L80" s="30">
        <v>17</v>
      </c>
      <c r="M80" s="31">
        <v>1860</v>
      </c>
      <c r="O80" s="30" t="str">
        <f t="shared" si="12"/>
        <v>P20S1A26</v>
      </c>
      <c r="P80" s="30">
        <v>2943</v>
      </c>
      <c r="Q80" s="30">
        <v>20</v>
      </c>
      <c r="R80" s="30">
        <v>1</v>
      </c>
      <c r="S80" s="30">
        <v>26</v>
      </c>
      <c r="T80" s="31">
        <v>5936</v>
      </c>
      <c r="V80" s="30" t="str">
        <f t="shared" si="13"/>
        <v>P15S1A26</v>
      </c>
      <c r="W80" s="30">
        <v>2223</v>
      </c>
      <c r="X80" s="30">
        <v>15</v>
      </c>
      <c r="Y80" s="30">
        <v>1</v>
      </c>
      <c r="Z80" s="30">
        <v>26</v>
      </c>
      <c r="AA80" s="31">
        <v>14888.999999999998</v>
      </c>
      <c r="AC80" s="144" t="str">
        <f t="shared" si="8"/>
        <v>P10S2A52</v>
      </c>
      <c r="AD80" s="144"/>
      <c r="AE80" s="142">
        <v>10</v>
      </c>
      <c r="AF80" s="142">
        <v>2</v>
      </c>
      <c r="AG80" s="142">
        <v>52</v>
      </c>
      <c r="AH80" s="143">
        <v>1533</v>
      </c>
      <c r="AJ80" s="142" t="str">
        <f t="shared" si="14"/>
        <v>P10S2A14</v>
      </c>
      <c r="AK80" s="142"/>
      <c r="AL80" s="142">
        <v>10</v>
      </c>
      <c r="AM80" s="142">
        <v>2</v>
      </c>
      <c r="AN80" s="142">
        <v>14</v>
      </c>
      <c r="AO80" s="143">
        <v>1246</v>
      </c>
      <c r="AQ80" s="163" t="str">
        <f t="shared" si="9"/>
        <v>P10S2A52</v>
      </c>
      <c r="AR80" s="163"/>
      <c r="AS80" s="165">
        <v>10</v>
      </c>
      <c r="AT80" s="163">
        <v>2</v>
      </c>
      <c r="AU80" s="163">
        <v>52</v>
      </c>
      <c r="AV80" s="166">
        <v>476</v>
      </c>
    </row>
    <row r="81" spans="1:48">
      <c r="A81" s="30" t="str">
        <f t="shared" si="10"/>
        <v>P01S1A79</v>
      </c>
      <c r="B81" s="30"/>
      <c r="C81" s="30">
        <v>1</v>
      </c>
      <c r="D81" s="30">
        <v>1</v>
      </c>
      <c r="E81" s="30">
        <v>79</v>
      </c>
      <c r="F81" s="31">
        <v>22475</v>
      </c>
      <c r="H81" s="30" t="str">
        <f t="shared" si="11"/>
        <v>P15S2A18</v>
      </c>
      <c r="I81" s="30"/>
      <c r="J81" s="30">
        <v>15</v>
      </c>
      <c r="K81" s="30">
        <v>2</v>
      </c>
      <c r="L81" s="30">
        <v>18</v>
      </c>
      <c r="M81" s="31">
        <v>1879</v>
      </c>
      <c r="O81" s="30" t="str">
        <f t="shared" si="12"/>
        <v>P20S1A27</v>
      </c>
      <c r="P81" s="30">
        <v>2943</v>
      </c>
      <c r="Q81" s="30">
        <v>20</v>
      </c>
      <c r="R81" s="30">
        <v>1</v>
      </c>
      <c r="S81" s="30">
        <v>27</v>
      </c>
      <c r="T81" s="31">
        <v>5805</v>
      </c>
      <c r="V81" s="30" t="str">
        <f t="shared" si="13"/>
        <v>P15S1A27</v>
      </c>
      <c r="W81" s="30">
        <v>2223</v>
      </c>
      <c r="X81" s="30">
        <v>15</v>
      </c>
      <c r="Y81" s="30">
        <v>1</v>
      </c>
      <c r="Z81" s="30">
        <v>27</v>
      </c>
      <c r="AA81" s="31">
        <v>14819</v>
      </c>
      <c r="AC81" s="144" t="str">
        <f t="shared" si="8"/>
        <v>P10S2A53</v>
      </c>
      <c r="AD81" s="144"/>
      <c r="AE81" s="144">
        <v>10</v>
      </c>
      <c r="AF81" s="144">
        <v>2</v>
      </c>
      <c r="AG81" s="144">
        <v>53</v>
      </c>
      <c r="AH81" s="143">
        <v>1536</v>
      </c>
      <c r="AJ81" s="142" t="str">
        <f t="shared" si="14"/>
        <v>P10S2A15</v>
      </c>
      <c r="AK81" s="142"/>
      <c r="AL81" s="142">
        <v>10</v>
      </c>
      <c r="AM81" s="142">
        <v>2</v>
      </c>
      <c r="AN81" s="142">
        <v>15</v>
      </c>
      <c r="AO81" s="143">
        <v>1258</v>
      </c>
      <c r="AQ81" s="163" t="str">
        <f t="shared" si="9"/>
        <v>P10S2A53</v>
      </c>
      <c r="AR81" s="163"/>
      <c r="AS81" s="165">
        <v>10</v>
      </c>
      <c r="AT81" s="163">
        <v>2</v>
      </c>
      <c r="AU81" s="163">
        <v>53</v>
      </c>
      <c r="AV81" s="166">
        <v>498</v>
      </c>
    </row>
    <row r="82" spans="1:48">
      <c r="A82" s="30" t="str">
        <f t="shared" si="10"/>
        <v>P01S1A80</v>
      </c>
      <c r="B82" s="30"/>
      <c r="C82" s="30">
        <v>1</v>
      </c>
      <c r="D82" s="30">
        <v>1</v>
      </c>
      <c r="E82" s="30">
        <v>80</v>
      </c>
      <c r="F82" s="31">
        <v>24349</v>
      </c>
      <c r="H82" s="30" t="str">
        <f t="shared" si="11"/>
        <v>P15S2A19</v>
      </c>
      <c r="I82" s="30"/>
      <c r="J82" s="30">
        <v>15</v>
      </c>
      <c r="K82" s="30">
        <v>2</v>
      </c>
      <c r="L82" s="30">
        <v>19</v>
      </c>
      <c r="M82" s="31">
        <v>1896</v>
      </c>
      <c r="O82" s="30" t="str">
        <f t="shared" si="12"/>
        <v>P20S1A28</v>
      </c>
      <c r="P82" s="30">
        <v>2943</v>
      </c>
      <c r="Q82" s="30">
        <v>20</v>
      </c>
      <c r="R82" s="30">
        <v>1</v>
      </c>
      <c r="S82" s="30">
        <v>28</v>
      </c>
      <c r="T82" s="31">
        <v>5671.0000000000009</v>
      </c>
      <c r="V82" s="30" t="str">
        <f t="shared" si="13"/>
        <v>P15S1A28</v>
      </c>
      <c r="W82" s="30">
        <v>2223</v>
      </c>
      <c r="X82" s="30">
        <v>15</v>
      </c>
      <c r="Y82" s="30">
        <v>1</v>
      </c>
      <c r="Z82" s="30">
        <v>28</v>
      </c>
      <c r="AA82" s="31">
        <v>14744</v>
      </c>
      <c r="AC82" s="144" t="str">
        <f t="shared" si="8"/>
        <v>P10S2A54</v>
      </c>
      <c r="AD82" s="144"/>
      <c r="AE82" s="142">
        <v>10</v>
      </c>
      <c r="AF82" s="142">
        <v>2</v>
      </c>
      <c r="AG82" s="142">
        <v>54</v>
      </c>
      <c r="AH82" s="143">
        <v>1537</v>
      </c>
      <c r="AJ82" s="142" t="str">
        <f t="shared" si="14"/>
        <v>P10S2A16</v>
      </c>
      <c r="AK82" s="142"/>
      <c r="AL82" s="142">
        <v>10</v>
      </c>
      <c r="AM82" s="142">
        <v>2</v>
      </c>
      <c r="AN82" s="142">
        <v>16</v>
      </c>
      <c r="AO82" s="143">
        <v>1270</v>
      </c>
      <c r="AQ82" s="163" t="str">
        <f t="shared" si="9"/>
        <v>P10S2A54</v>
      </c>
      <c r="AR82" s="163"/>
      <c r="AS82" s="165">
        <v>10</v>
      </c>
      <c r="AT82" s="163">
        <v>2</v>
      </c>
      <c r="AU82" s="163">
        <v>54</v>
      </c>
      <c r="AV82" s="166">
        <v>523</v>
      </c>
    </row>
    <row r="83" spans="1:48">
      <c r="A83" s="30" t="str">
        <f t="shared" si="10"/>
        <v>P01S1A81</v>
      </c>
      <c r="B83" s="30"/>
      <c r="C83" s="30">
        <v>1</v>
      </c>
      <c r="D83" s="30">
        <v>1</v>
      </c>
      <c r="E83" s="30">
        <v>81</v>
      </c>
      <c r="F83" s="31">
        <v>25385</v>
      </c>
      <c r="H83" s="30" t="str">
        <f t="shared" si="11"/>
        <v>P15S2A20</v>
      </c>
      <c r="I83" s="30"/>
      <c r="J83" s="30">
        <v>15</v>
      </c>
      <c r="K83" s="30">
        <v>2</v>
      </c>
      <c r="L83" s="30">
        <v>20</v>
      </c>
      <c r="M83" s="31">
        <v>1952</v>
      </c>
      <c r="O83" s="30" t="str">
        <f t="shared" si="12"/>
        <v>P20S1A29</v>
      </c>
      <c r="P83" s="30">
        <v>2943</v>
      </c>
      <c r="Q83" s="30">
        <v>20</v>
      </c>
      <c r="R83" s="30">
        <v>1</v>
      </c>
      <c r="S83" s="30">
        <v>29</v>
      </c>
      <c r="T83" s="31">
        <v>5532</v>
      </c>
      <c r="V83" s="30" t="str">
        <f t="shared" si="13"/>
        <v>P15S1A29</v>
      </c>
      <c r="W83" s="30">
        <v>2223</v>
      </c>
      <c r="X83" s="30">
        <v>15</v>
      </c>
      <c r="Y83" s="30">
        <v>1</v>
      </c>
      <c r="Z83" s="30">
        <v>29</v>
      </c>
      <c r="AA83" s="31">
        <v>14664</v>
      </c>
      <c r="AC83" s="144" t="str">
        <f t="shared" si="8"/>
        <v>P10S2A55</v>
      </c>
      <c r="AD83" s="144"/>
      <c r="AE83" s="144">
        <v>10</v>
      </c>
      <c r="AF83" s="144">
        <v>2</v>
      </c>
      <c r="AG83" s="144">
        <v>55</v>
      </c>
      <c r="AH83" s="143">
        <v>1541</v>
      </c>
      <c r="AJ83" s="142" t="str">
        <f t="shared" si="14"/>
        <v>P10S2A17</v>
      </c>
      <c r="AK83" s="142"/>
      <c r="AL83" s="142">
        <v>10</v>
      </c>
      <c r="AM83" s="142">
        <v>2</v>
      </c>
      <c r="AN83" s="142">
        <v>17</v>
      </c>
      <c r="AO83" s="143">
        <v>1283</v>
      </c>
      <c r="AQ83" s="163" t="str">
        <f t="shared" si="9"/>
        <v>P10S2A55</v>
      </c>
      <c r="AR83" s="163"/>
      <c r="AS83" s="165">
        <v>10</v>
      </c>
      <c r="AT83" s="163">
        <v>2</v>
      </c>
      <c r="AU83" s="163">
        <v>55</v>
      </c>
      <c r="AV83" s="166">
        <v>553</v>
      </c>
    </row>
    <row r="84" spans="1:48">
      <c r="A84" s="30" t="str">
        <f t="shared" si="10"/>
        <v>P01S1A82</v>
      </c>
      <c r="B84" s="30"/>
      <c r="C84" s="30">
        <v>1</v>
      </c>
      <c r="D84" s="30">
        <v>1</v>
      </c>
      <c r="E84" s="30">
        <v>82</v>
      </c>
      <c r="F84" s="31">
        <v>26421</v>
      </c>
      <c r="H84" s="30" t="str">
        <f t="shared" si="11"/>
        <v>P15S2A21</v>
      </c>
      <c r="I84" s="30"/>
      <c r="J84" s="30">
        <v>15</v>
      </c>
      <c r="K84" s="30">
        <v>2</v>
      </c>
      <c r="L84" s="30">
        <v>21</v>
      </c>
      <c r="M84" s="31">
        <v>1975</v>
      </c>
      <c r="O84" s="30" t="str">
        <f t="shared" si="12"/>
        <v>P20S1A30</v>
      </c>
      <c r="P84" s="30">
        <v>2943</v>
      </c>
      <c r="Q84" s="30">
        <v>20</v>
      </c>
      <c r="R84" s="30">
        <v>1</v>
      </c>
      <c r="S84" s="30">
        <v>30</v>
      </c>
      <c r="T84" s="31">
        <v>5389.0000000000009</v>
      </c>
      <c r="V84" s="30" t="str">
        <f t="shared" si="13"/>
        <v>P15S1A30</v>
      </c>
      <c r="W84" s="30">
        <v>2223</v>
      </c>
      <c r="X84" s="30">
        <v>15</v>
      </c>
      <c r="Y84" s="30">
        <v>1</v>
      </c>
      <c r="Z84" s="30">
        <v>30</v>
      </c>
      <c r="AA84" s="31">
        <v>14579</v>
      </c>
      <c r="AC84" s="144" t="str">
        <f t="shared" si="8"/>
        <v>P10S2A56</v>
      </c>
      <c r="AD84" s="144"/>
      <c r="AE84" s="142">
        <v>10</v>
      </c>
      <c r="AF84" s="142">
        <v>2</v>
      </c>
      <c r="AG84" s="142">
        <v>56</v>
      </c>
      <c r="AH84" s="143">
        <v>1543</v>
      </c>
      <c r="AJ84" s="142" t="str">
        <f t="shared" si="14"/>
        <v>P10S2A18</v>
      </c>
      <c r="AK84" s="142"/>
      <c r="AL84" s="142">
        <v>10</v>
      </c>
      <c r="AM84" s="142">
        <v>2</v>
      </c>
      <c r="AN84" s="142">
        <v>18</v>
      </c>
      <c r="AO84" s="143">
        <v>1295</v>
      </c>
      <c r="AQ84" s="163" t="str">
        <f t="shared" si="9"/>
        <v>P10S2A56</v>
      </c>
      <c r="AR84" s="163"/>
      <c r="AS84" s="165">
        <v>10</v>
      </c>
      <c r="AT84" s="163">
        <v>2</v>
      </c>
      <c r="AU84" s="163">
        <v>56</v>
      </c>
      <c r="AV84" s="166">
        <v>585</v>
      </c>
    </row>
    <row r="85" spans="1:48">
      <c r="A85" s="30" t="str">
        <f t="shared" si="10"/>
        <v>P01S1A83</v>
      </c>
      <c r="B85" s="30"/>
      <c r="C85" s="30">
        <v>1</v>
      </c>
      <c r="D85" s="30">
        <v>1</v>
      </c>
      <c r="E85" s="30">
        <v>83</v>
      </c>
      <c r="F85" s="31">
        <v>28217</v>
      </c>
      <c r="H85" s="30" t="str">
        <f t="shared" si="11"/>
        <v>P15S2A22</v>
      </c>
      <c r="I85" s="30"/>
      <c r="J85" s="30">
        <v>15</v>
      </c>
      <c r="K85" s="30">
        <v>2</v>
      </c>
      <c r="L85" s="30">
        <v>22</v>
      </c>
      <c r="M85" s="31">
        <v>1996</v>
      </c>
      <c r="O85" s="30" t="str">
        <f t="shared" si="12"/>
        <v>P20S1A31</v>
      </c>
      <c r="P85" s="30">
        <v>2943</v>
      </c>
      <c r="Q85" s="30">
        <v>20</v>
      </c>
      <c r="R85" s="30">
        <v>1</v>
      </c>
      <c r="S85" s="30">
        <v>31</v>
      </c>
      <c r="T85" s="31">
        <v>5240</v>
      </c>
      <c r="V85" s="30" t="str">
        <f t="shared" si="13"/>
        <v>P15S1A31</v>
      </c>
      <c r="W85" s="30">
        <v>2223</v>
      </c>
      <c r="X85" s="30">
        <v>15</v>
      </c>
      <c r="Y85" s="30">
        <v>1</v>
      </c>
      <c r="Z85" s="30">
        <v>31</v>
      </c>
      <c r="AA85" s="31">
        <v>14487.000000000002</v>
      </c>
      <c r="AC85" s="144" t="str">
        <f t="shared" si="8"/>
        <v>P10S2A57</v>
      </c>
      <c r="AD85" s="144"/>
      <c r="AE85" s="144">
        <v>10</v>
      </c>
      <c r="AF85" s="144">
        <v>2</v>
      </c>
      <c r="AG85" s="144">
        <v>57</v>
      </c>
      <c r="AH85" s="143">
        <v>1546</v>
      </c>
      <c r="AJ85" s="142" t="str">
        <f t="shared" si="14"/>
        <v>P10S2A19</v>
      </c>
      <c r="AK85" s="142"/>
      <c r="AL85" s="142">
        <v>10</v>
      </c>
      <c r="AM85" s="142">
        <v>2</v>
      </c>
      <c r="AN85" s="142">
        <v>19</v>
      </c>
      <c r="AO85" s="143">
        <v>1308</v>
      </c>
      <c r="AQ85" s="163" t="str">
        <f t="shared" si="9"/>
        <v>P10S2A57</v>
      </c>
      <c r="AR85" s="163"/>
      <c r="AS85" s="165">
        <v>10</v>
      </c>
      <c r="AT85" s="163">
        <v>2</v>
      </c>
      <c r="AU85" s="163">
        <v>57</v>
      </c>
      <c r="AV85" s="166">
        <v>621</v>
      </c>
    </row>
    <row r="86" spans="1:48">
      <c r="A86" s="30" t="str">
        <f t="shared" si="10"/>
        <v>P01S1A84</v>
      </c>
      <c r="B86" s="30"/>
      <c r="C86" s="30">
        <v>1</v>
      </c>
      <c r="D86" s="30">
        <v>1</v>
      </c>
      <c r="E86" s="30">
        <v>84</v>
      </c>
      <c r="F86" s="31">
        <v>30014</v>
      </c>
      <c r="H86" s="30" t="str">
        <f t="shared" si="11"/>
        <v>P15S2A23</v>
      </c>
      <c r="I86" s="30"/>
      <c r="J86" s="30">
        <v>15</v>
      </c>
      <c r="K86" s="30">
        <v>2</v>
      </c>
      <c r="L86" s="30">
        <v>23</v>
      </c>
      <c r="M86" s="31">
        <v>2014</v>
      </c>
      <c r="O86" s="30" t="str">
        <f t="shared" si="12"/>
        <v>P20S1A32</v>
      </c>
      <c r="P86" s="30">
        <v>2943</v>
      </c>
      <c r="Q86" s="30">
        <v>20</v>
      </c>
      <c r="R86" s="30">
        <v>1</v>
      </c>
      <c r="S86" s="30">
        <v>32</v>
      </c>
      <c r="T86" s="31">
        <v>5086.0000000000009</v>
      </c>
      <c r="V86" s="30" t="str">
        <f t="shared" si="13"/>
        <v>P15S1A32</v>
      </c>
      <c r="W86" s="30">
        <v>2223</v>
      </c>
      <c r="X86" s="30">
        <v>15</v>
      </c>
      <c r="Y86" s="30">
        <v>1</v>
      </c>
      <c r="Z86" s="30">
        <v>32</v>
      </c>
      <c r="AA86" s="31">
        <v>14388</v>
      </c>
      <c r="AC86" s="144" t="str">
        <f t="shared" si="8"/>
        <v>P10S2A58</v>
      </c>
      <c r="AD86" s="144"/>
      <c r="AE86" s="142">
        <v>10</v>
      </c>
      <c r="AF86" s="142">
        <v>2</v>
      </c>
      <c r="AG86" s="142">
        <v>58</v>
      </c>
      <c r="AH86" s="143">
        <v>1546</v>
      </c>
      <c r="AJ86" s="142" t="str">
        <f t="shared" si="14"/>
        <v>P10S2A20</v>
      </c>
      <c r="AK86" s="142"/>
      <c r="AL86" s="142">
        <v>10</v>
      </c>
      <c r="AM86" s="142">
        <v>2</v>
      </c>
      <c r="AN86" s="142">
        <v>20</v>
      </c>
      <c r="AO86" s="143">
        <v>1321</v>
      </c>
      <c r="AQ86" s="163" t="str">
        <f t="shared" si="9"/>
        <v>P10S2A58</v>
      </c>
      <c r="AR86" s="163"/>
      <c r="AS86" s="165">
        <v>10</v>
      </c>
      <c r="AT86" s="163">
        <v>2</v>
      </c>
      <c r="AU86" s="163">
        <v>58</v>
      </c>
      <c r="AV86" s="164">
        <v>662</v>
      </c>
    </row>
    <row r="87" spans="1:48">
      <c r="A87" s="30" t="str">
        <f t="shared" si="10"/>
        <v>P01S1A85</v>
      </c>
      <c r="B87" s="30"/>
      <c r="C87" s="30">
        <v>1</v>
      </c>
      <c r="D87" s="30">
        <v>1</v>
      </c>
      <c r="E87" s="30">
        <v>85</v>
      </c>
      <c r="F87" s="31">
        <v>34083</v>
      </c>
      <c r="H87" s="30" t="str">
        <f t="shared" si="11"/>
        <v>P15S2A24</v>
      </c>
      <c r="I87" s="30"/>
      <c r="J87" s="30">
        <v>15</v>
      </c>
      <c r="K87" s="30">
        <v>2</v>
      </c>
      <c r="L87" s="30">
        <v>24</v>
      </c>
      <c r="M87" s="31">
        <v>2029</v>
      </c>
      <c r="O87" s="30" t="str">
        <f t="shared" si="12"/>
        <v>P20S1A33</v>
      </c>
      <c r="P87" s="30">
        <v>2943</v>
      </c>
      <c r="Q87" s="30">
        <v>20</v>
      </c>
      <c r="R87" s="30">
        <v>1</v>
      </c>
      <c r="S87" s="30">
        <v>33</v>
      </c>
      <c r="T87" s="31">
        <v>4926</v>
      </c>
      <c r="V87" s="30" t="str">
        <f t="shared" si="13"/>
        <v>P15S1A33</v>
      </c>
      <c r="W87" s="30">
        <v>2223</v>
      </c>
      <c r="X87" s="30">
        <v>15</v>
      </c>
      <c r="Y87" s="30">
        <v>1</v>
      </c>
      <c r="Z87" s="30">
        <v>33</v>
      </c>
      <c r="AA87" s="31">
        <v>14282</v>
      </c>
      <c r="AC87" s="144" t="str">
        <f t="shared" si="8"/>
        <v>P10S2A59</v>
      </c>
      <c r="AD87" s="144"/>
      <c r="AE87" s="144">
        <v>10</v>
      </c>
      <c r="AF87" s="144">
        <v>2</v>
      </c>
      <c r="AG87" s="144">
        <v>59</v>
      </c>
      <c r="AH87" s="143">
        <v>1547</v>
      </c>
      <c r="AJ87" s="142" t="str">
        <f t="shared" si="14"/>
        <v>P10S2A21</v>
      </c>
      <c r="AK87" s="142"/>
      <c r="AL87" s="142">
        <v>10</v>
      </c>
      <c r="AM87" s="142">
        <v>2</v>
      </c>
      <c r="AN87" s="142">
        <v>21</v>
      </c>
      <c r="AO87" s="143">
        <v>1334</v>
      </c>
      <c r="AQ87" s="163" t="str">
        <f t="shared" si="9"/>
        <v>P10S2A59</v>
      </c>
      <c r="AR87" s="163"/>
      <c r="AS87" s="163">
        <v>10</v>
      </c>
      <c r="AT87" s="163">
        <v>2</v>
      </c>
      <c r="AU87" s="165">
        <v>59</v>
      </c>
      <c r="AV87" s="164">
        <v>706</v>
      </c>
    </row>
    <row r="88" spans="1:48">
      <c r="A88" s="30" t="str">
        <f t="shared" si="10"/>
        <v>P01S2A00</v>
      </c>
      <c r="B88" s="30"/>
      <c r="C88" s="30">
        <v>1</v>
      </c>
      <c r="D88" s="30">
        <v>2</v>
      </c>
      <c r="E88" s="30">
        <v>0</v>
      </c>
      <c r="F88" s="31">
        <v>3570</v>
      </c>
      <c r="H88" s="30" t="str">
        <f t="shared" si="11"/>
        <v>P15S2A25</v>
      </c>
      <c r="I88" s="30"/>
      <c r="J88" s="30">
        <v>15</v>
      </c>
      <c r="K88" s="30">
        <v>2</v>
      </c>
      <c r="L88" s="30">
        <v>25</v>
      </c>
      <c r="M88" s="31">
        <v>2041</v>
      </c>
      <c r="O88" s="30" t="str">
        <f t="shared" si="12"/>
        <v>P20S1A34</v>
      </c>
      <c r="P88" s="30">
        <v>2943</v>
      </c>
      <c r="Q88" s="30">
        <v>20</v>
      </c>
      <c r="R88" s="30">
        <v>1</v>
      </c>
      <c r="S88" s="30">
        <v>34</v>
      </c>
      <c r="T88" s="31">
        <v>4760</v>
      </c>
      <c r="V88" s="30" t="str">
        <f t="shared" si="13"/>
        <v>P15S1A34</v>
      </c>
      <c r="W88" s="30">
        <v>2223</v>
      </c>
      <c r="X88" s="30">
        <v>15</v>
      </c>
      <c r="Y88" s="30">
        <v>1</v>
      </c>
      <c r="Z88" s="30">
        <v>34</v>
      </c>
      <c r="AA88" s="31">
        <v>14168</v>
      </c>
      <c r="AC88" s="144" t="str">
        <f t="shared" si="8"/>
        <v>P10S2A60</v>
      </c>
      <c r="AD88" s="144"/>
      <c r="AE88" s="142">
        <v>10</v>
      </c>
      <c r="AF88" s="142">
        <v>2</v>
      </c>
      <c r="AG88" s="142">
        <v>60</v>
      </c>
      <c r="AH88" s="143">
        <v>1549</v>
      </c>
      <c r="AJ88" s="142" t="str">
        <f t="shared" si="14"/>
        <v>P10S2A22</v>
      </c>
      <c r="AK88" s="142"/>
      <c r="AL88" s="142">
        <v>10</v>
      </c>
      <c r="AM88" s="142">
        <v>2</v>
      </c>
      <c r="AN88" s="142">
        <v>22</v>
      </c>
      <c r="AO88" s="143">
        <v>1347</v>
      </c>
      <c r="AQ88" s="163" t="str">
        <f t="shared" si="9"/>
        <v>P10S2A60</v>
      </c>
      <c r="AR88" s="163"/>
      <c r="AS88" s="165">
        <v>10</v>
      </c>
      <c r="AT88" s="163">
        <v>2</v>
      </c>
      <c r="AU88" s="163">
        <v>60</v>
      </c>
      <c r="AV88" s="164">
        <v>756</v>
      </c>
    </row>
    <row r="89" spans="1:48">
      <c r="A89" s="30" t="str">
        <f t="shared" si="10"/>
        <v>P01S2A01</v>
      </c>
      <c r="B89" s="30"/>
      <c r="C89" s="30">
        <v>1</v>
      </c>
      <c r="D89" s="30">
        <v>2</v>
      </c>
      <c r="E89" s="30">
        <v>1</v>
      </c>
      <c r="F89" s="31">
        <v>3266</v>
      </c>
      <c r="H89" s="30" t="str">
        <f t="shared" si="11"/>
        <v>P15S2A26</v>
      </c>
      <c r="I89" s="30"/>
      <c r="J89" s="30">
        <v>15</v>
      </c>
      <c r="K89" s="30">
        <v>2</v>
      </c>
      <c r="L89" s="30">
        <v>26</v>
      </c>
      <c r="M89" s="31">
        <v>2054</v>
      </c>
      <c r="O89" s="30" t="str">
        <f t="shared" si="12"/>
        <v>P20S1A35</v>
      </c>
      <c r="P89" s="30">
        <v>2943</v>
      </c>
      <c r="Q89" s="30">
        <v>20</v>
      </c>
      <c r="R89" s="30">
        <v>1</v>
      </c>
      <c r="S89" s="30">
        <v>35</v>
      </c>
      <c r="T89" s="31">
        <v>4589</v>
      </c>
      <c r="V89" s="30" t="str">
        <f t="shared" si="13"/>
        <v>P15S1A35</v>
      </c>
      <c r="W89" s="30">
        <v>2223</v>
      </c>
      <c r="X89" s="30">
        <v>15</v>
      </c>
      <c r="Y89" s="30">
        <v>1</v>
      </c>
      <c r="Z89" s="30">
        <v>35</v>
      </c>
      <c r="AA89" s="31">
        <v>14047</v>
      </c>
      <c r="AC89" s="144" t="str">
        <f t="shared" si="8"/>
        <v>P10S2A61</v>
      </c>
      <c r="AD89" s="144"/>
      <c r="AE89" s="144">
        <v>10</v>
      </c>
      <c r="AF89" s="144">
        <v>2</v>
      </c>
      <c r="AG89" s="144">
        <v>61</v>
      </c>
      <c r="AH89" s="143">
        <v>1550</v>
      </c>
      <c r="AJ89" s="142" t="str">
        <f t="shared" si="14"/>
        <v>P10S2A23</v>
      </c>
      <c r="AK89" s="142"/>
      <c r="AL89" s="142">
        <v>10</v>
      </c>
      <c r="AM89" s="142">
        <v>2</v>
      </c>
      <c r="AN89" s="142">
        <v>23</v>
      </c>
      <c r="AO89" s="143">
        <v>1360</v>
      </c>
      <c r="AQ89" s="163" t="str">
        <f t="shared" si="9"/>
        <v>P10S2A61</v>
      </c>
      <c r="AR89" s="163"/>
      <c r="AS89" s="163">
        <v>10</v>
      </c>
      <c r="AT89" s="163">
        <v>2</v>
      </c>
      <c r="AU89" s="165">
        <v>61</v>
      </c>
      <c r="AV89" s="164">
        <v>813</v>
      </c>
    </row>
    <row r="90" spans="1:48">
      <c r="A90" s="30" t="str">
        <f t="shared" si="10"/>
        <v>P01S2A02</v>
      </c>
      <c r="B90" s="30"/>
      <c r="C90" s="30">
        <v>1</v>
      </c>
      <c r="D90" s="30">
        <v>2</v>
      </c>
      <c r="E90" s="30">
        <v>2</v>
      </c>
      <c r="F90" s="31">
        <v>2962</v>
      </c>
      <c r="H90" s="30" t="str">
        <f t="shared" si="11"/>
        <v>P15S2A27</v>
      </c>
      <c r="I90" s="30"/>
      <c r="J90" s="30">
        <v>15</v>
      </c>
      <c r="K90" s="30">
        <v>2</v>
      </c>
      <c r="L90" s="30">
        <v>27</v>
      </c>
      <c r="M90" s="31">
        <v>2063</v>
      </c>
      <c r="O90" s="30" t="str">
        <f t="shared" si="12"/>
        <v>P20S1A36</v>
      </c>
      <c r="P90" s="30">
        <v>2943</v>
      </c>
      <c r="Q90" s="30">
        <v>20</v>
      </c>
      <c r="R90" s="30">
        <v>1</v>
      </c>
      <c r="S90" s="30">
        <v>36</v>
      </c>
      <c r="T90" s="31">
        <v>4412</v>
      </c>
      <c r="V90" s="30" t="str">
        <f t="shared" si="13"/>
        <v>P15S1A36</v>
      </c>
      <c r="W90" s="30">
        <v>2223</v>
      </c>
      <c r="X90" s="30">
        <v>15</v>
      </c>
      <c r="Y90" s="30">
        <v>1</v>
      </c>
      <c r="Z90" s="30">
        <v>36</v>
      </c>
      <c r="AA90" s="31">
        <v>13918</v>
      </c>
      <c r="AC90" s="144" t="str">
        <f t="shared" si="8"/>
        <v>P10S2A62</v>
      </c>
      <c r="AD90" s="144"/>
      <c r="AE90" s="142">
        <v>10</v>
      </c>
      <c r="AF90" s="142">
        <v>2</v>
      </c>
      <c r="AG90" s="142">
        <v>62</v>
      </c>
      <c r="AH90" s="143">
        <v>1551</v>
      </c>
      <c r="AJ90" s="142" t="str">
        <f t="shared" si="14"/>
        <v>P10S2A24</v>
      </c>
      <c r="AK90" s="142"/>
      <c r="AL90" s="142">
        <v>10</v>
      </c>
      <c r="AM90" s="142">
        <v>2</v>
      </c>
      <c r="AN90" s="142">
        <v>24</v>
      </c>
      <c r="AO90" s="143">
        <v>1373</v>
      </c>
      <c r="AQ90" s="163" t="str">
        <f t="shared" si="9"/>
        <v>P10S2A62</v>
      </c>
      <c r="AR90" s="163"/>
      <c r="AS90" s="165">
        <v>10</v>
      </c>
      <c r="AT90" s="163">
        <v>2</v>
      </c>
      <c r="AU90" s="163">
        <v>62</v>
      </c>
      <c r="AV90" s="164">
        <v>874</v>
      </c>
    </row>
    <row r="91" spans="1:48">
      <c r="A91" s="30" t="str">
        <f t="shared" si="10"/>
        <v>P01S2A03</v>
      </c>
      <c r="B91" s="30"/>
      <c r="C91" s="30">
        <v>1</v>
      </c>
      <c r="D91" s="30">
        <v>2</v>
      </c>
      <c r="E91" s="30">
        <v>3</v>
      </c>
      <c r="F91" s="31">
        <v>2658</v>
      </c>
      <c r="H91" s="30" t="str">
        <f t="shared" si="11"/>
        <v>P15S2A28</v>
      </c>
      <c r="I91" s="30"/>
      <c r="J91" s="30">
        <v>15</v>
      </c>
      <c r="K91" s="30">
        <v>2</v>
      </c>
      <c r="L91" s="30">
        <v>28</v>
      </c>
      <c r="M91" s="31">
        <v>2069</v>
      </c>
      <c r="O91" s="30" t="str">
        <f t="shared" si="12"/>
        <v>P20S1A37</v>
      </c>
      <c r="P91" s="30">
        <v>2943</v>
      </c>
      <c r="Q91" s="30">
        <v>20</v>
      </c>
      <c r="R91" s="30">
        <v>1</v>
      </c>
      <c r="S91" s="30">
        <v>37</v>
      </c>
      <c r="T91" s="31">
        <v>4230</v>
      </c>
      <c r="V91" s="30" t="str">
        <f t="shared" si="13"/>
        <v>P15S1A37</v>
      </c>
      <c r="W91" s="30">
        <v>2223</v>
      </c>
      <c r="X91" s="30">
        <v>15</v>
      </c>
      <c r="Y91" s="30">
        <v>1</v>
      </c>
      <c r="Z91" s="30">
        <v>37</v>
      </c>
      <c r="AA91" s="31">
        <v>13781.000000000002</v>
      </c>
      <c r="AC91" s="144" t="str">
        <f t="shared" si="8"/>
        <v>P10S2A63</v>
      </c>
      <c r="AD91" s="144"/>
      <c r="AE91" s="144">
        <v>10</v>
      </c>
      <c r="AF91" s="144">
        <v>2</v>
      </c>
      <c r="AG91" s="144">
        <v>63</v>
      </c>
      <c r="AH91" s="143">
        <v>1552</v>
      </c>
      <c r="AJ91" s="142" t="str">
        <f t="shared" si="14"/>
        <v>P10S2A25</v>
      </c>
      <c r="AK91" s="142"/>
      <c r="AL91" s="142">
        <v>10</v>
      </c>
      <c r="AM91" s="142">
        <v>2</v>
      </c>
      <c r="AN91" s="142">
        <v>25</v>
      </c>
      <c r="AO91" s="143">
        <v>1387</v>
      </c>
      <c r="AQ91" s="163" t="str">
        <f t="shared" si="9"/>
        <v>P10S2A63</v>
      </c>
      <c r="AR91" s="163"/>
      <c r="AS91" s="163">
        <v>10</v>
      </c>
      <c r="AT91" s="163">
        <v>2</v>
      </c>
      <c r="AU91" s="165">
        <v>63</v>
      </c>
      <c r="AV91" s="164">
        <v>942</v>
      </c>
    </row>
    <row r="92" spans="1:48">
      <c r="A92" s="30" t="str">
        <f t="shared" si="10"/>
        <v>P01S2A04</v>
      </c>
      <c r="B92" s="30"/>
      <c r="C92" s="30">
        <v>1</v>
      </c>
      <c r="D92" s="30">
        <v>2</v>
      </c>
      <c r="E92" s="30">
        <v>4</v>
      </c>
      <c r="F92" s="31">
        <v>2354</v>
      </c>
      <c r="H92" s="30" t="str">
        <f t="shared" si="11"/>
        <v>P15S2A29</v>
      </c>
      <c r="I92" s="30"/>
      <c r="J92" s="30">
        <v>15</v>
      </c>
      <c r="K92" s="30">
        <v>2</v>
      </c>
      <c r="L92" s="30">
        <v>29</v>
      </c>
      <c r="M92" s="31">
        <v>2073</v>
      </c>
      <c r="O92" s="30" t="str">
        <f t="shared" si="12"/>
        <v>P20S1A38</v>
      </c>
      <c r="P92" s="30">
        <v>2943</v>
      </c>
      <c r="Q92" s="30">
        <v>20</v>
      </c>
      <c r="R92" s="30">
        <v>1</v>
      </c>
      <c r="S92" s="30">
        <v>38</v>
      </c>
      <c r="T92" s="31">
        <v>4043</v>
      </c>
      <c r="V92" s="30" t="str">
        <f t="shared" si="13"/>
        <v>P15S1A38</v>
      </c>
      <c r="W92" s="30">
        <v>2223</v>
      </c>
      <c r="X92" s="30">
        <v>15</v>
      </c>
      <c r="Y92" s="30">
        <v>1</v>
      </c>
      <c r="Z92" s="30">
        <v>38</v>
      </c>
      <c r="AA92" s="31">
        <v>13637</v>
      </c>
      <c r="AC92" s="144" t="str">
        <f t="shared" si="8"/>
        <v>P10S2A64</v>
      </c>
      <c r="AD92" s="144"/>
      <c r="AE92" s="142">
        <v>10</v>
      </c>
      <c r="AF92" s="142">
        <v>2</v>
      </c>
      <c r="AG92" s="142">
        <v>64</v>
      </c>
      <c r="AH92" s="143">
        <v>1553</v>
      </c>
      <c r="AJ92" s="142" t="str">
        <f t="shared" si="14"/>
        <v>P10S2A26</v>
      </c>
      <c r="AK92" s="142"/>
      <c r="AL92" s="142">
        <v>10</v>
      </c>
      <c r="AM92" s="142">
        <v>2</v>
      </c>
      <c r="AN92" s="142">
        <v>26</v>
      </c>
      <c r="AO92" s="143">
        <v>1400</v>
      </c>
      <c r="AQ92" s="163" t="str">
        <f t="shared" si="9"/>
        <v>P10S2A64</v>
      </c>
      <c r="AR92" s="163"/>
      <c r="AS92" s="165">
        <v>10</v>
      </c>
      <c r="AT92" s="163">
        <v>2</v>
      </c>
      <c r="AU92" s="163">
        <v>64</v>
      </c>
      <c r="AV92" s="164">
        <v>1014.9999999999999</v>
      </c>
    </row>
    <row r="93" spans="1:48">
      <c r="A93" s="30" t="str">
        <f t="shared" si="10"/>
        <v>P01S2A05</v>
      </c>
      <c r="B93" s="30"/>
      <c r="C93" s="30">
        <v>1</v>
      </c>
      <c r="D93" s="30">
        <v>2</v>
      </c>
      <c r="E93" s="30">
        <v>5</v>
      </c>
      <c r="F93" s="31">
        <v>1837</v>
      </c>
      <c r="H93" s="30" t="str">
        <f t="shared" si="11"/>
        <v>P15S2A30</v>
      </c>
      <c r="I93" s="30"/>
      <c r="J93" s="30">
        <v>15</v>
      </c>
      <c r="K93" s="30">
        <v>2</v>
      </c>
      <c r="L93" s="30">
        <v>30</v>
      </c>
      <c r="M93" s="31">
        <v>2075</v>
      </c>
      <c r="O93" s="30" t="str">
        <f t="shared" si="12"/>
        <v>P20S1A39</v>
      </c>
      <c r="P93" s="30">
        <v>2943</v>
      </c>
      <c r="Q93" s="30">
        <v>20</v>
      </c>
      <c r="R93" s="30">
        <v>1</v>
      </c>
      <c r="S93" s="30">
        <v>39</v>
      </c>
      <c r="T93" s="31">
        <v>3852</v>
      </c>
      <c r="V93" s="30" t="str">
        <f t="shared" si="13"/>
        <v>P15S1A39</v>
      </c>
      <c r="W93" s="30">
        <v>2223</v>
      </c>
      <c r="X93" s="30">
        <v>15</v>
      </c>
      <c r="Y93" s="30">
        <v>1</v>
      </c>
      <c r="Z93" s="30">
        <v>39</v>
      </c>
      <c r="AA93" s="31">
        <v>13486</v>
      </c>
      <c r="AC93" s="144" t="str">
        <f t="shared" si="8"/>
        <v>P10S2A65</v>
      </c>
      <c r="AD93" s="144"/>
      <c r="AE93" s="144">
        <v>10</v>
      </c>
      <c r="AF93" s="144">
        <v>2</v>
      </c>
      <c r="AG93" s="144">
        <v>65</v>
      </c>
      <c r="AH93" s="143">
        <v>1553</v>
      </c>
      <c r="AJ93" s="142" t="str">
        <f t="shared" si="14"/>
        <v>P10S2A27</v>
      </c>
      <c r="AK93" s="142"/>
      <c r="AL93" s="142">
        <v>10</v>
      </c>
      <c r="AM93" s="142">
        <v>2</v>
      </c>
      <c r="AN93" s="142">
        <v>27</v>
      </c>
      <c r="AO93" s="143">
        <v>1414</v>
      </c>
      <c r="AQ93" s="163" t="str">
        <f t="shared" si="9"/>
        <v>P10S2A65</v>
      </c>
      <c r="AR93" s="163"/>
      <c r="AS93" s="163">
        <v>10</v>
      </c>
      <c r="AT93" s="163">
        <v>2</v>
      </c>
      <c r="AU93" s="165">
        <v>65</v>
      </c>
      <c r="AV93" s="164">
        <v>1096</v>
      </c>
    </row>
    <row r="94" spans="1:48">
      <c r="A94" s="30" t="str">
        <f t="shared" si="10"/>
        <v>P01S2A06</v>
      </c>
      <c r="B94" s="30"/>
      <c r="C94" s="30">
        <v>1</v>
      </c>
      <c r="D94" s="30">
        <v>2</v>
      </c>
      <c r="E94" s="30">
        <v>6</v>
      </c>
      <c r="F94" s="31">
        <v>1571</v>
      </c>
      <c r="H94" s="30" t="str">
        <f t="shared" si="11"/>
        <v>P15S2A31</v>
      </c>
      <c r="I94" s="30"/>
      <c r="J94" s="30">
        <v>15</v>
      </c>
      <c r="K94" s="30">
        <v>2</v>
      </c>
      <c r="L94" s="30">
        <v>31</v>
      </c>
      <c r="M94" s="31">
        <v>2101</v>
      </c>
      <c r="O94" s="30" t="str">
        <f t="shared" si="12"/>
        <v>P20S1A40</v>
      </c>
      <c r="P94" s="30">
        <v>2943</v>
      </c>
      <c r="Q94" s="30">
        <v>20</v>
      </c>
      <c r="R94" s="30">
        <v>1</v>
      </c>
      <c r="S94" s="30">
        <v>40</v>
      </c>
      <c r="T94" s="31">
        <v>3658</v>
      </c>
      <c r="V94" s="30" t="str">
        <f t="shared" si="13"/>
        <v>P15S1A40</v>
      </c>
      <c r="W94" s="30">
        <v>2223</v>
      </c>
      <c r="X94" s="30">
        <v>15</v>
      </c>
      <c r="Y94" s="30">
        <v>1</v>
      </c>
      <c r="Z94" s="30">
        <v>40</v>
      </c>
      <c r="AA94" s="31">
        <v>13329</v>
      </c>
      <c r="AC94" s="144" t="str">
        <f t="shared" si="8"/>
        <v>P15S1A20</v>
      </c>
      <c r="AD94" s="144"/>
      <c r="AE94" s="144">
        <v>15</v>
      </c>
      <c r="AF94" s="144">
        <v>1</v>
      </c>
      <c r="AG94" s="144">
        <v>20</v>
      </c>
      <c r="AH94" s="143">
        <v>810</v>
      </c>
      <c r="AJ94" s="142" t="str">
        <f t="shared" si="14"/>
        <v>P10S2A28</v>
      </c>
      <c r="AK94" s="142"/>
      <c r="AL94" s="142">
        <v>10</v>
      </c>
      <c r="AM94" s="142">
        <v>2</v>
      </c>
      <c r="AN94" s="142">
        <v>28</v>
      </c>
      <c r="AO94" s="143">
        <v>1428</v>
      </c>
      <c r="AQ94" s="163" t="str">
        <f t="shared" si="9"/>
        <v>P20S1A20</v>
      </c>
      <c r="AR94" s="163"/>
      <c r="AS94" s="165">
        <v>20</v>
      </c>
      <c r="AT94" s="163">
        <v>1</v>
      </c>
      <c r="AU94" s="166">
        <v>20</v>
      </c>
      <c r="AV94" s="166">
        <v>130</v>
      </c>
    </row>
    <row r="95" spans="1:48">
      <c r="A95" s="30" t="str">
        <f t="shared" si="10"/>
        <v>P01S2A07</v>
      </c>
      <c r="B95" s="30"/>
      <c r="C95" s="30">
        <v>1</v>
      </c>
      <c r="D95" s="30">
        <v>2</v>
      </c>
      <c r="E95" s="30">
        <v>7</v>
      </c>
      <c r="F95" s="31">
        <v>1306</v>
      </c>
      <c r="H95" s="30" t="str">
        <f t="shared" si="11"/>
        <v>P15S2A32</v>
      </c>
      <c r="I95" s="30"/>
      <c r="J95" s="30">
        <v>15</v>
      </c>
      <c r="K95" s="30">
        <v>2</v>
      </c>
      <c r="L95" s="30">
        <v>32</v>
      </c>
      <c r="M95" s="31">
        <v>2126</v>
      </c>
      <c r="O95" s="30" t="str">
        <f t="shared" si="12"/>
        <v>P20S1A41</v>
      </c>
      <c r="P95" s="30">
        <v>2943</v>
      </c>
      <c r="Q95" s="30">
        <v>20</v>
      </c>
      <c r="R95" s="30">
        <v>1</v>
      </c>
      <c r="S95" s="30">
        <v>41</v>
      </c>
      <c r="T95" s="31">
        <v>3459.9999999999995</v>
      </c>
      <c r="V95" s="30" t="str">
        <f t="shared" si="13"/>
        <v>P15S1A41</v>
      </c>
      <c r="W95" s="30">
        <v>2223</v>
      </c>
      <c r="X95" s="30">
        <v>15</v>
      </c>
      <c r="Y95" s="30">
        <v>1</v>
      </c>
      <c r="Z95" s="30">
        <v>41</v>
      </c>
      <c r="AA95" s="31">
        <v>13166</v>
      </c>
      <c r="AC95" s="144" t="str">
        <f t="shared" si="8"/>
        <v>P15S1A21</v>
      </c>
      <c r="AD95" s="144"/>
      <c r="AE95" s="144">
        <v>15</v>
      </c>
      <c r="AF95" s="144">
        <v>1</v>
      </c>
      <c r="AG95" s="144">
        <v>21</v>
      </c>
      <c r="AH95" s="143">
        <v>818</v>
      </c>
      <c r="AJ95" s="142" t="str">
        <f t="shared" si="14"/>
        <v>P10S2A29</v>
      </c>
      <c r="AK95" s="142"/>
      <c r="AL95" s="142">
        <v>10</v>
      </c>
      <c r="AM95" s="142">
        <v>2</v>
      </c>
      <c r="AN95" s="142">
        <v>29</v>
      </c>
      <c r="AO95" s="143">
        <v>1442</v>
      </c>
      <c r="AQ95" s="163" t="str">
        <f t="shared" si="9"/>
        <v>P20S1A21</v>
      </c>
      <c r="AR95" s="163"/>
      <c r="AS95" s="165">
        <v>20</v>
      </c>
      <c r="AT95" s="163">
        <v>1</v>
      </c>
      <c r="AU95" s="166">
        <v>21</v>
      </c>
      <c r="AV95" s="166">
        <v>139</v>
      </c>
    </row>
    <row r="96" spans="1:48">
      <c r="A96" s="30" t="str">
        <f t="shared" si="10"/>
        <v>P01S2A08</v>
      </c>
      <c r="B96" s="30"/>
      <c r="C96" s="30">
        <v>1</v>
      </c>
      <c r="D96" s="30">
        <v>2</v>
      </c>
      <c r="E96" s="30">
        <v>8</v>
      </c>
      <c r="F96" s="31">
        <v>1224</v>
      </c>
      <c r="H96" s="30" t="str">
        <f t="shared" si="11"/>
        <v>P15S2A33</v>
      </c>
      <c r="I96" s="30"/>
      <c r="J96" s="30">
        <v>15</v>
      </c>
      <c r="K96" s="30">
        <v>2</v>
      </c>
      <c r="L96" s="30">
        <v>33</v>
      </c>
      <c r="M96" s="31">
        <v>2151</v>
      </c>
      <c r="O96" s="30" t="str">
        <f t="shared" si="12"/>
        <v>P20S1A42</v>
      </c>
      <c r="P96" s="30">
        <v>2943</v>
      </c>
      <c r="Q96" s="30">
        <v>20</v>
      </c>
      <c r="R96" s="30">
        <v>1</v>
      </c>
      <c r="S96" s="30">
        <v>42</v>
      </c>
      <c r="T96" s="31">
        <v>3260</v>
      </c>
      <c r="V96" s="30" t="str">
        <f t="shared" si="13"/>
        <v>P15S1A42</v>
      </c>
      <c r="W96" s="30">
        <v>2223</v>
      </c>
      <c r="X96" s="30">
        <v>15</v>
      </c>
      <c r="Y96" s="30">
        <v>1</v>
      </c>
      <c r="Z96" s="30">
        <v>42</v>
      </c>
      <c r="AA96" s="31">
        <v>12999</v>
      </c>
      <c r="AC96" s="144" t="str">
        <f t="shared" si="8"/>
        <v>P15S1A22</v>
      </c>
      <c r="AD96" s="144"/>
      <c r="AE96" s="144">
        <v>15</v>
      </c>
      <c r="AF96" s="144">
        <v>1</v>
      </c>
      <c r="AG96" s="144">
        <v>22</v>
      </c>
      <c r="AH96" s="143">
        <v>826</v>
      </c>
      <c r="AJ96" s="142" t="str">
        <f t="shared" si="14"/>
        <v>P10S2A30</v>
      </c>
      <c r="AK96" s="142"/>
      <c r="AL96" s="142">
        <v>10</v>
      </c>
      <c r="AM96" s="142">
        <v>2</v>
      </c>
      <c r="AN96" s="142">
        <v>30</v>
      </c>
      <c r="AO96" s="143">
        <v>1458</v>
      </c>
      <c r="AQ96" s="163" t="str">
        <f t="shared" si="9"/>
        <v>P20S1A22</v>
      </c>
      <c r="AR96" s="163"/>
      <c r="AS96" s="165">
        <v>20</v>
      </c>
      <c r="AT96" s="163">
        <v>1</v>
      </c>
      <c r="AU96" s="166">
        <v>22</v>
      </c>
      <c r="AV96" s="166">
        <v>148</v>
      </c>
    </row>
    <row r="97" spans="1:48">
      <c r="A97" s="30" t="str">
        <f t="shared" si="10"/>
        <v>P01S2A09</v>
      </c>
      <c r="B97" s="30"/>
      <c r="C97" s="30">
        <v>1</v>
      </c>
      <c r="D97" s="30">
        <v>2</v>
      </c>
      <c r="E97" s="30">
        <v>9</v>
      </c>
      <c r="F97" s="31">
        <v>1143</v>
      </c>
      <c r="H97" s="30" t="str">
        <f t="shared" si="11"/>
        <v>P15S2A34</v>
      </c>
      <c r="I97" s="30"/>
      <c r="J97" s="30">
        <v>15</v>
      </c>
      <c r="K97" s="30">
        <v>2</v>
      </c>
      <c r="L97" s="30">
        <v>34</v>
      </c>
      <c r="M97" s="31">
        <v>2177</v>
      </c>
      <c r="O97" s="30" t="str">
        <f t="shared" si="12"/>
        <v>P20S1A43</v>
      </c>
      <c r="P97" s="30">
        <v>2943</v>
      </c>
      <c r="Q97" s="30">
        <v>20</v>
      </c>
      <c r="R97" s="30">
        <v>1</v>
      </c>
      <c r="S97" s="30">
        <v>43</v>
      </c>
      <c r="T97" s="31">
        <v>3059</v>
      </c>
      <c r="V97" s="30" t="str">
        <f t="shared" si="13"/>
        <v>P15S1A43</v>
      </c>
      <c r="W97" s="30">
        <v>2223</v>
      </c>
      <c r="X97" s="30">
        <v>15</v>
      </c>
      <c r="Y97" s="30">
        <v>1</v>
      </c>
      <c r="Z97" s="30">
        <v>43</v>
      </c>
      <c r="AA97" s="31">
        <v>12827</v>
      </c>
      <c r="AC97" s="144" t="str">
        <f t="shared" si="8"/>
        <v>P15S1A23</v>
      </c>
      <c r="AD97" s="144"/>
      <c r="AE97" s="144">
        <v>15</v>
      </c>
      <c r="AF97" s="144">
        <v>1</v>
      </c>
      <c r="AG97" s="144">
        <v>23</v>
      </c>
      <c r="AH97" s="143">
        <v>834</v>
      </c>
      <c r="AJ97" s="142" t="str">
        <f t="shared" si="14"/>
        <v>P10S2A31</v>
      </c>
      <c r="AK97" s="142"/>
      <c r="AL97" s="142">
        <v>10</v>
      </c>
      <c r="AM97" s="142">
        <v>2</v>
      </c>
      <c r="AN97" s="142">
        <v>31</v>
      </c>
      <c r="AO97" s="143">
        <v>1476</v>
      </c>
      <c r="AQ97" s="163" t="str">
        <f t="shared" si="9"/>
        <v>P20S1A23</v>
      </c>
      <c r="AR97" s="163"/>
      <c r="AS97" s="165">
        <v>20</v>
      </c>
      <c r="AT97" s="163">
        <v>1</v>
      </c>
      <c r="AU97" s="166">
        <v>23</v>
      </c>
      <c r="AV97" s="166">
        <v>158</v>
      </c>
    </row>
    <row r="98" spans="1:48">
      <c r="A98" s="30" t="str">
        <f t="shared" si="10"/>
        <v>P01S2A10</v>
      </c>
      <c r="B98" s="30"/>
      <c r="C98" s="30">
        <v>1</v>
      </c>
      <c r="D98" s="30">
        <v>2</v>
      </c>
      <c r="E98" s="30">
        <v>10</v>
      </c>
      <c r="F98" s="31">
        <v>1084</v>
      </c>
      <c r="H98" s="30" t="str">
        <f t="shared" si="11"/>
        <v>P15S2A35</v>
      </c>
      <c r="I98" s="30"/>
      <c r="J98" s="30">
        <v>15</v>
      </c>
      <c r="K98" s="30">
        <v>2</v>
      </c>
      <c r="L98" s="30">
        <v>35</v>
      </c>
      <c r="M98" s="31">
        <v>2206</v>
      </c>
      <c r="O98" s="30" t="str">
        <f t="shared" si="12"/>
        <v>P20S1A44</v>
      </c>
      <c r="P98" s="30">
        <v>2943</v>
      </c>
      <c r="Q98" s="30">
        <v>20</v>
      </c>
      <c r="R98" s="30">
        <v>1</v>
      </c>
      <c r="S98" s="30">
        <v>44</v>
      </c>
      <c r="T98" s="31">
        <v>2856</v>
      </c>
      <c r="V98" s="30" t="str">
        <f t="shared" si="13"/>
        <v>P15S1A44</v>
      </c>
      <c r="W98" s="30">
        <v>2223</v>
      </c>
      <c r="X98" s="30">
        <v>15</v>
      </c>
      <c r="Y98" s="30">
        <v>1</v>
      </c>
      <c r="Z98" s="30">
        <v>44</v>
      </c>
      <c r="AA98" s="31">
        <v>12653.000000000002</v>
      </c>
      <c r="AC98" s="144" t="str">
        <f t="shared" si="8"/>
        <v>P15S1A24</v>
      </c>
      <c r="AD98" s="144"/>
      <c r="AE98" s="144">
        <v>15</v>
      </c>
      <c r="AF98" s="144">
        <v>1</v>
      </c>
      <c r="AG98" s="144">
        <v>24</v>
      </c>
      <c r="AH98" s="143">
        <v>843</v>
      </c>
      <c r="AJ98" s="142" t="str">
        <f t="shared" si="14"/>
        <v>P10S2A32</v>
      </c>
      <c r="AK98" s="142"/>
      <c r="AL98" s="142">
        <v>10</v>
      </c>
      <c r="AM98" s="142">
        <v>2</v>
      </c>
      <c r="AN98" s="142">
        <v>32</v>
      </c>
      <c r="AO98" s="143">
        <v>1493</v>
      </c>
      <c r="AQ98" s="163" t="str">
        <f t="shared" ref="AQ98:AQ129" si="15">"P"&amp;REPT("0",2-LEN(AS98))&amp;AS98&amp;"S"&amp;AT98&amp;"A"&amp;REPT("0",2-LEN(AU98))&amp;AU98</f>
        <v>P20S1A24</v>
      </c>
      <c r="AR98" s="163"/>
      <c r="AS98" s="165">
        <v>20</v>
      </c>
      <c r="AT98" s="163">
        <v>1</v>
      </c>
      <c r="AU98" s="166">
        <v>24</v>
      </c>
      <c r="AV98" s="166">
        <v>169</v>
      </c>
    </row>
    <row r="99" spans="1:48">
      <c r="A99" s="30" t="str">
        <f t="shared" si="10"/>
        <v>P01S2A11</v>
      </c>
      <c r="B99" s="30"/>
      <c r="C99" s="30">
        <v>1</v>
      </c>
      <c r="D99" s="30">
        <v>2</v>
      </c>
      <c r="E99" s="30">
        <v>11</v>
      </c>
      <c r="F99" s="31">
        <v>1000</v>
      </c>
      <c r="H99" s="30" t="str">
        <f t="shared" si="11"/>
        <v>P15S2A36</v>
      </c>
      <c r="I99" s="30"/>
      <c r="J99" s="30">
        <v>15</v>
      </c>
      <c r="K99" s="30">
        <v>2</v>
      </c>
      <c r="L99" s="30">
        <v>36</v>
      </c>
      <c r="M99" s="31">
        <v>2241</v>
      </c>
      <c r="O99" s="30" t="str">
        <f t="shared" si="12"/>
        <v>P20S1A45</v>
      </c>
      <c r="P99" s="30">
        <v>2943</v>
      </c>
      <c r="Q99" s="30">
        <v>20</v>
      </c>
      <c r="R99" s="30">
        <v>1</v>
      </c>
      <c r="S99" s="30">
        <v>45</v>
      </c>
      <c r="T99" s="31">
        <v>2655</v>
      </c>
      <c r="V99" s="30" t="str">
        <f t="shared" si="13"/>
        <v>P15S1A45</v>
      </c>
      <c r="W99" s="30">
        <v>2223</v>
      </c>
      <c r="X99" s="30">
        <v>15</v>
      </c>
      <c r="Y99" s="30">
        <v>1</v>
      </c>
      <c r="Z99" s="30">
        <v>45</v>
      </c>
      <c r="AA99" s="31">
        <v>12476</v>
      </c>
      <c r="AC99" s="144" t="str">
        <f t="shared" si="8"/>
        <v>P15S1A25</v>
      </c>
      <c r="AD99" s="144"/>
      <c r="AE99" s="144">
        <v>15</v>
      </c>
      <c r="AF99" s="144">
        <v>1</v>
      </c>
      <c r="AG99" s="144">
        <v>25</v>
      </c>
      <c r="AH99" s="143">
        <v>851</v>
      </c>
      <c r="AJ99" s="142" t="str">
        <f t="shared" si="14"/>
        <v>P10S2A33</v>
      </c>
      <c r="AK99" s="142"/>
      <c r="AL99" s="142">
        <v>10</v>
      </c>
      <c r="AM99" s="142">
        <v>2</v>
      </c>
      <c r="AN99" s="142">
        <v>33</v>
      </c>
      <c r="AO99" s="143">
        <v>1495</v>
      </c>
      <c r="AQ99" s="163" t="str">
        <f t="shared" si="15"/>
        <v>P20S1A25</v>
      </c>
      <c r="AR99" s="163"/>
      <c r="AS99" s="165">
        <v>20</v>
      </c>
      <c r="AT99" s="163">
        <v>1</v>
      </c>
      <c r="AU99" s="166">
        <v>25</v>
      </c>
      <c r="AV99" s="166">
        <v>182</v>
      </c>
    </row>
    <row r="100" spans="1:48">
      <c r="A100" s="30" t="str">
        <f t="shared" si="10"/>
        <v>P01S2A12</v>
      </c>
      <c r="B100" s="30"/>
      <c r="C100" s="30">
        <v>1</v>
      </c>
      <c r="D100" s="30">
        <v>2</v>
      </c>
      <c r="E100" s="30">
        <v>12</v>
      </c>
      <c r="F100" s="31">
        <v>915</v>
      </c>
      <c r="H100" s="30" t="str">
        <f t="shared" si="11"/>
        <v>P15S2A37</v>
      </c>
      <c r="I100" s="30"/>
      <c r="J100" s="30">
        <v>15</v>
      </c>
      <c r="K100" s="30">
        <v>2</v>
      </c>
      <c r="L100" s="30">
        <v>37</v>
      </c>
      <c r="M100" s="31">
        <v>2280</v>
      </c>
      <c r="O100" s="30" t="str">
        <f t="shared" si="12"/>
        <v>P20S2A20</v>
      </c>
      <c r="P100" s="30">
        <v>2943</v>
      </c>
      <c r="Q100" s="30">
        <v>20</v>
      </c>
      <c r="R100" s="30">
        <v>2</v>
      </c>
      <c r="S100" s="30">
        <v>20</v>
      </c>
      <c r="T100" s="31">
        <v>2691</v>
      </c>
      <c r="V100" s="30" t="str">
        <f t="shared" si="13"/>
        <v>P15S1A46</v>
      </c>
      <c r="W100" s="30">
        <v>2223</v>
      </c>
      <c r="X100" s="30">
        <v>15</v>
      </c>
      <c r="Y100" s="30">
        <v>1</v>
      </c>
      <c r="Z100" s="30">
        <v>46</v>
      </c>
      <c r="AA100" s="31">
        <v>12297</v>
      </c>
      <c r="AC100" s="144" t="str">
        <f t="shared" si="8"/>
        <v>P15S1A26</v>
      </c>
      <c r="AD100" s="144"/>
      <c r="AE100" s="144">
        <v>15</v>
      </c>
      <c r="AF100" s="144">
        <v>1</v>
      </c>
      <c r="AG100" s="144">
        <v>26</v>
      </c>
      <c r="AH100" s="143">
        <v>859</v>
      </c>
      <c r="AJ100" s="142" t="str">
        <f t="shared" si="14"/>
        <v>P10S2A34</v>
      </c>
      <c r="AK100" s="142"/>
      <c r="AL100" s="142">
        <v>10</v>
      </c>
      <c r="AM100" s="142">
        <v>2</v>
      </c>
      <c r="AN100" s="142">
        <v>34</v>
      </c>
      <c r="AO100" s="143">
        <v>1496</v>
      </c>
      <c r="AQ100" s="163" t="str">
        <f t="shared" si="15"/>
        <v>P20S1A26</v>
      </c>
      <c r="AR100" s="163"/>
      <c r="AS100" s="165">
        <v>20</v>
      </c>
      <c r="AT100" s="163">
        <v>1</v>
      </c>
      <c r="AU100" s="166">
        <v>26</v>
      </c>
      <c r="AV100" s="166">
        <v>196</v>
      </c>
    </row>
    <row r="101" spans="1:48">
      <c r="A101" s="30" t="str">
        <f t="shared" si="10"/>
        <v>P01S2A13</v>
      </c>
      <c r="B101" s="30"/>
      <c r="C101" s="30">
        <v>1</v>
      </c>
      <c r="D101" s="30">
        <v>2</v>
      </c>
      <c r="E101" s="30">
        <v>13</v>
      </c>
      <c r="F101" s="31">
        <v>919</v>
      </c>
      <c r="H101" s="30" t="str">
        <f t="shared" si="11"/>
        <v>P15S2A38</v>
      </c>
      <c r="I101" s="30"/>
      <c r="J101" s="30">
        <v>15</v>
      </c>
      <c r="K101" s="30">
        <v>2</v>
      </c>
      <c r="L101" s="30">
        <v>38</v>
      </c>
      <c r="M101" s="31">
        <v>2323</v>
      </c>
      <c r="O101" s="30" t="str">
        <f t="shared" si="12"/>
        <v>P20S2A21</v>
      </c>
      <c r="P101" s="30">
        <v>2943</v>
      </c>
      <c r="Q101" s="30">
        <v>20</v>
      </c>
      <c r="R101" s="30">
        <v>2</v>
      </c>
      <c r="S101" s="30">
        <v>21</v>
      </c>
      <c r="T101" s="31">
        <v>2664.0000000000005</v>
      </c>
      <c r="V101" s="30" t="str">
        <f t="shared" si="13"/>
        <v>P15S1A47</v>
      </c>
      <c r="W101" s="30">
        <v>2223</v>
      </c>
      <c r="X101" s="30">
        <v>15</v>
      </c>
      <c r="Y101" s="30">
        <v>1</v>
      </c>
      <c r="Z101" s="30">
        <v>47</v>
      </c>
      <c r="AA101" s="31">
        <v>12118</v>
      </c>
      <c r="AC101" s="144" t="str">
        <f t="shared" si="8"/>
        <v>P15S1A27</v>
      </c>
      <c r="AD101" s="144"/>
      <c r="AE101" s="144">
        <v>15</v>
      </c>
      <c r="AF101" s="144">
        <v>1</v>
      </c>
      <c r="AG101" s="144">
        <v>27</v>
      </c>
      <c r="AH101" s="143">
        <v>867</v>
      </c>
      <c r="AJ101" s="142" t="str">
        <f t="shared" si="14"/>
        <v>P10S2A35</v>
      </c>
      <c r="AK101" s="142"/>
      <c r="AL101" s="142">
        <v>10</v>
      </c>
      <c r="AM101" s="142">
        <v>2</v>
      </c>
      <c r="AN101" s="142">
        <v>35</v>
      </c>
      <c r="AO101" s="143">
        <v>1499</v>
      </c>
      <c r="AQ101" s="163" t="str">
        <f t="shared" si="15"/>
        <v>P20S1A27</v>
      </c>
      <c r="AR101" s="163"/>
      <c r="AS101" s="165">
        <v>20</v>
      </c>
      <c r="AT101" s="163">
        <v>1</v>
      </c>
      <c r="AU101" s="166">
        <v>27</v>
      </c>
      <c r="AV101" s="166">
        <v>211</v>
      </c>
    </row>
    <row r="102" spans="1:48">
      <c r="A102" s="30" t="str">
        <f t="shared" si="10"/>
        <v>P01S2A14</v>
      </c>
      <c r="B102" s="30"/>
      <c r="C102" s="30">
        <v>1</v>
      </c>
      <c r="D102" s="30">
        <v>2</v>
      </c>
      <c r="E102" s="30">
        <v>14</v>
      </c>
      <c r="F102" s="31">
        <v>923</v>
      </c>
      <c r="H102" s="30" t="str">
        <f t="shared" si="11"/>
        <v>P15S2A39</v>
      </c>
      <c r="I102" s="30"/>
      <c r="J102" s="30">
        <v>15</v>
      </c>
      <c r="K102" s="30">
        <v>2</v>
      </c>
      <c r="L102" s="30">
        <v>39</v>
      </c>
      <c r="M102" s="31">
        <v>2369</v>
      </c>
      <c r="O102" s="30" t="str">
        <f t="shared" si="12"/>
        <v>P20S2A22</v>
      </c>
      <c r="P102" s="30">
        <v>2943</v>
      </c>
      <c r="Q102" s="30">
        <v>20</v>
      </c>
      <c r="R102" s="30">
        <v>2</v>
      </c>
      <c r="S102" s="30">
        <v>22</v>
      </c>
      <c r="T102" s="31">
        <v>2636</v>
      </c>
      <c r="V102" s="30" t="str">
        <f t="shared" si="13"/>
        <v>P15S1A48</v>
      </c>
      <c r="W102" s="30">
        <v>2223</v>
      </c>
      <c r="X102" s="30">
        <v>15</v>
      </c>
      <c r="Y102" s="30">
        <v>1</v>
      </c>
      <c r="Z102" s="30">
        <v>48</v>
      </c>
      <c r="AA102" s="31">
        <v>11939</v>
      </c>
      <c r="AC102" s="144" t="str">
        <f t="shared" si="8"/>
        <v>P15S1A28</v>
      </c>
      <c r="AD102" s="144"/>
      <c r="AE102" s="144">
        <v>15</v>
      </c>
      <c r="AF102" s="144">
        <v>1</v>
      </c>
      <c r="AG102" s="144">
        <v>28</v>
      </c>
      <c r="AH102" s="143">
        <v>876</v>
      </c>
      <c r="AJ102" s="142" t="str">
        <f t="shared" si="14"/>
        <v>P10S2A36</v>
      </c>
      <c r="AK102" s="142"/>
      <c r="AL102" s="142">
        <v>10</v>
      </c>
      <c r="AM102" s="142">
        <v>2</v>
      </c>
      <c r="AN102" s="142">
        <v>36</v>
      </c>
      <c r="AO102" s="143">
        <v>1501</v>
      </c>
      <c r="AQ102" s="163" t="str">
        <f t="shared" si="15"/>
        <v>P20S1A28</v>
      </c>
      <c r="AR102" s="163"/>
      <c r="AS102" s="165">
        <v>20</v>
      </c>
      <c r="AT102" s="163">
        <v>1</v>
      </c>
      <c r="AU102" s="166">
        <v>28</v>
      </c>
      <c r="AV102" s="166">
        <v>228</v>
      </c>
    </row>
    <row r="103" spans="1:48">
      <c r="A103" s="30" t="str">
        <f t="shared" si="10"/>
        <v>P01S2A15</v>
      </c>
      <c r="B103" s="30"/>
      <c r="C103" s="30">
        <v>1</v>
      </c>
      <c r="D103" s="30">
        <v>2</v>
      </c>
      <c r="E103" s="30">
        <v>15</v>
      </c>
      <c r="F103" s="31">
        <v>1106</v>
      </c>
      <c r="H103" s="30" t="str">
        <f t="shared" si="11"/>
        <v>P15S2A40</v>
      </c>
      <c r="I103" s="30"/>
      <c r="J103" s="30">
        <v>15</v>
      </c>
      <c r="K103" s="30">
        <v>2</v>
      </c>
      <c r="L103" s="30">
        <v>40</v>
      </c>
      <c r="M103" s="31">
        <v>2421</v>
      </c>
      <c r="O103" s="30" t="str">
        <f t="shared" si="12"/>
        <v>P20S2A23</v>
      </c>
      <c r="P103" s="30">
        <v>2943</v>
      </c>
      <c r="Q103" s="30">
        <v>20</v>
      </c>
      <c r="R103" s="30">
        <v>2</v>
      </c>
      <c r="S103" s="30">
        <v>23</v>
      </c>
      <c r="T103" s="31">
        <v>2607.9999999999995</v>
      </c>
      <c r="V103" s="30" t="str">
        <f t="shared" si="13"/>
        <v>P15S1A49</v>
      </c>
      <c r="W103" s="30">
        <v>2223</v>
      </c>
      <c r="X103" s="30">
        <v>15</v>
      </c>
      <c r="Y103" s="30">
        <v>1</v>
      </c>
      <c r="Z103" s="30">
        <v>49</v>
      </c>
      <c r="AA103" s="31">
        <v>11762</v>
      </c>
      <c r="AC103" s="144" t="str">
        <f t="shared" si="8"/>
        <v>P15S1A29</v>
      </c>
      <c r="AD103" s="144"/>
      <c r="AE103" s="144">
        <v>15</v>
      </c>
      <c r="AF103" s="144">
        <v>1</v>
      </c>
      <c r="AG103" s="144">
        <v>29</v>
      </c>
      <c r="AH103" s="143">
        <v>885</v>
      </c>
      <c r="AJ103" s="142" t="str">
        <f t="shared" si="14"/>
        <v>P10S2A37</v>
      </c>
      <c r="AK103" s="142"/>
      <c r="AL103" s="142">
        <v>10</v>
      </c>
      <c r="AM103" s="142">
        <v>2</v>
      </c>
      <c r="AN103" s="142">
        <v>37</v>
      </c>
      <c r="AO103" s="143">
        <v>1502</v>
      </c>
      <c r="AQ103" s="163" t="str">
        <f t="shared" si="15"/>
        <v>P20S1A29</v>
      </c>
      <c r="AR103" s="163"/>
      <c r="AS103" s="165">
        <v>20</v>
      </c>
      <c r="AT103" s="163">
        <v>1</v>
      </c>
      <c r="AU103" s="166">
        <v>29</v>
      </c>
      <c r="AV103" s="166">
        <v>246</v>
      </c>
    </row>
    <row r="104" spans="1:48">
      <c r="A104" s="30" t="str">
        <f t="shared" si="10"/>
        <v>P01S2A16</v>
      </c>
      <c r="B104" s="30"/>
      <c r="C104" s="30">
        <v>1</v>
      </c>
      <c r="D104" s="30">
        <v>2</v>
      </c>
      <c r="E104" s="30">
        <v>16</v>
      </c>
      <c r="F104" s="31">
        <v>1125</v>
      </c>
      <c r="H104" s="30" t="str">
        <f t="shared" si="11"/>
        <v>P15S2A41</v>
      </c>
      <c r="I104" s="30"/>
      <c r="J104" s="30">
        <v>15</v>
      </c>
      <c r="K104" s="30">
        <v>2</v>
      </c>
      <c r="L104" s="30">
        <v>41</v>
      </c>
      <c r="M104" s="31">
        <v>2456</v>
      </c>
      <c r="O104" s="30" t="str">
        <f t="shared" si="12"/>
        <v>P20S2A24</v>
      </c>
      <c r="P104" s="30">
        <v>2943</v>
      </c>
      <c r="Q104" s="30">
        <v>20</v>
      </c>
      <c r="R104" s="30">
        <v>2</v>
      </c>
      <c r="S104" s="30">
        <v>24</v>
      </c>
      <c r="T104" s="31">
        <v>2579</v>
      </c>
      <c r="V104" s="30" t="str">
        <f t="shared" si="13"/>
        <v>P15S1A50</v>
      </c>
      <c r="W104" s="30">
        <v>2223</v>
      </c>
      <c r="X104" s="30">
        <v>15</v>
      </c>
      <c r="Y104" s="30">
        <v>1</v>
      </c>
      <c r="Z104" s="30">
        <v>50</v>
      </c>
      <c r="AA104" s="31">
        <v>11586</v>
      </c>
      <c r="AC104" s="144" t="str">
        <f t="shared" si="8"/>
        <v>P15S1A30</v>
      </c>
      <c r="AD104" s="144"/>
      <c r="AE104" s="144">
        <v>15</v>
      </c>
      <c r="AF104" s="144">
        <v>1</v>
      </c>
      <c r="AG104" s="144">
        <v>30</v>
      </c>
      <c r="AH104" s="143">
        <v>894</v>
      </c>
      <c r="AJ104" s="142" t="str">
        <f t="shared" si="14"/>
        <v>P10S2A38</v>
      </c>
      <c r="AK104" s="142"/>
      <c r="AL104" s="142">
        <v>10</v>
      </c>
      <c r="AM104" s="142">
        <v>2</v>
      </c>
      <c r="AN104" s="142">
        <v>38</v>
      </c>
      <c r="AO104" s="143">
        <v>1504</v>
      </c>
      <c r="AQ104" s="163" t="str">
        <f t="shared" si="15"/>
        <v>P20S1A30</v>
      </c>
      <c r="AR104" s="163"/>
      <c r="AS104" s="165">
        <v>20</v>
      </c>
      <c r="AT104" s="163">
        <v>1</v>
      </c>
      <c r="AU104" s="166">
        <v>30</v>
      </c>
      <c r="AV104" s="166">
        <v>265</v>
      </c>
    </row>
    <row r="105" spans="1:48">
      <c r="A105" s="30" t="str">
        <f t="shared" si="10"/>
        <v>P01S2A17</v>
      </c>
      <c r="B105" s="30"/>
      <c r="C105" s="30">
        <v>1</v>
      </c>
      <c r="D105" s="30">
        <v>2</v>
      </c>
      <c r="E105" s="30">
        <v>17</v>
      </c>
      <c r="F105" s="31">
        <v>1144</v>
      </c>
      <c r="H105" s="30" t="str">
        <f t="shared" si="11"/>
        <v>P15S2A42</v>
      </c>
      <c r="I105" s="30"/>
      <c r="J105" s="30">
        <v>15</v>
      </c>
      <c r="K105" s="30">
        <v>2</v>
      </c>
      <c r="L105" s="30">
        <v>42</v>
      </c>
      <c r="M105" s="31">
        <v>2495</v>
      </c>
      <c r="O105" s="30" t="str">
        <f t="shared" si="12"/>
        <v>P20S2A25</v>
      </c>
      <c r="P105" s="30">
        <v>2943</v>
      </c>
      <c r="Q105" s="30">
        <v>20</v>
      </c>
      <c r="R105" s="30">
        <v>2</v>
      </c>
      <c r="S105" s="30">
        <v>25</v>
      </c>
      <c r="T105" s="31">
        <v>2547</v>
      </c>
      <c r="V105" s="30" t="str">
        <f t="shared" si="13"/>
        <v>P15S2A20</v>
      </c>
      <c r="W105" s="30">
        <v>2223</v>
      </c>
      <c r="X105" s="30">
        <v>15</v>
      </c>
      <c r="Y105" s="30">
        <v>2</v>
      </c>
      <c r="Z105" s="30">
        <v>20</v>
      </c>
      <c r="AA105" s="31">
        <v>10954</v>
      </c>
      <c r="AC105" s="144" t="str">
        <f t="shared" si="8"/>
        <v>P15S1A31</v>
      </c>
      <c r="AD105" s="144"/>
      <c r="AE105" s="144">
        <v>15</v>
      </c>
      <c r="AF105" s="144">
        <v>1</v>
      </c>
      <c r="AG105" s="144">
        <v>31</v>
      </c>
      <c r="AH105" s="143">
        <v>902</v>
      </c>
      <c r="AJ105" s="142" t="str">
        <f t="shared" si="14"/>
        <v>P10S2A39</v>
      </c>
      <c r="AK105" s="142"/>
      <c r="AL105" s="142">
        <v>10</v>
      </c>
      <c r="AM105" s="142">
        <v>2</v>
      </c>
      <c r="AN105" s="142">
        <v>39</v>
      </c>
      <c r="AO105" s="143">
        <v>1507</v>
      </c>
      <c r="AQ105" s="163" t="str">
        <f t="shared" si="15"/>
        <v>P20S1A31</v>
      </c>
      <c r="AR105" s="163"/>
      <c r="AS105" s="165">
        <v>20</v>
      </c>
      <c r="AT105" s="163">
        <v>1</v>
      </c>
      <c r="AU105" s="166">
        <v>31</v>
      </c>
      <c r="AV105" s="166">
        <v>284</v>
      </c>
    </row>
    <row r="106" spans="1:48">
      <c r="A106" s="30" t="str">
        <f t="shared" si="10"/>
        <v>P01S2A18</v>
      </c>
      <c r="B106" s="30"/>
      <c r="C106" s="30">
        <v>1</v>
      </c>
      <c r="D106" s="30">
        <v>2</v>
      </c>
      <c r="E106" s="30">
        <v>18</v>
      </c>
      <c r="F106" s="31">
        <v>1184</v>
      </c>
      <c r="H106" s="30" t="str">
        <f t="shared" si="11"/>
        <v>P15S2A43</v>
      </c>
      <c r="I106" s="30"/>
      <c r="J106" s="30">
        <v>15</v>
      </c>
      <c r="K106" s="30">
        <v>2</v>
      </c>
      <c r="L106" s="30">
        <v>43</v>
      </c>
      <c r="M106" s="31">
        <v>2540</v>
      </c>
      <c r="O106" s="30" t="str">
        <f t="shared" si="12"/>
        <v>P20S2A26</v>
      </c>
      <c r="P106" s="30">
        <v>2943</v>
      </c>
      <c r="Q106" s="30">
        <v>20</v>
      </c>
      <c r="R106" s="30">
        <v>2</v>
      </c>
      <c r="S106" s="30">
        <v>26</v>
      </c>
      <c r="T106" s="31">
        <v>2513.0000000000005</v>
      </c>
      <c r="V106" s="30" t="str">
        <f t="shared" si="13"/>
        <v>P15S2A21</v>
      </c>
      <c r="W106" s="30">
        <v>2223</v>
      </c>
      <c r="X106" s="30">
        <v>15</v>
      </c>
      <c r="Y106" s="30">
        <v>2</v>
      </c>
      <c r="Z106" s="30">
        <v>21</v>
      </c>
      <c r="AA106" s="31">
        <v>10920.999999999998</v>
      </c>
      <c r="AC106" s="144" t="str">
        <f t="shared" si="8"/>
        <v>P15S1A32</v>
      </c>
      <c r="AD106" s="144"/>
      <c r="AE106" s="144">
        <v>15</v>
      </c>
      <c r="AF106" s="144">
        <v>1</v>
      </c>
      <c r="AG106" s="144">
        <v>32</v>
      </c>
      <c r="AH106" s="143">
        <v>911</v>
      </c>
      <c r="AJ106" s="142" t="str">
        <f t="shared" si="14"/>
        <v>P10S2A40</v>
      </c>
      <c r="AK106" s="142"/>
      <c r="AL106" s="142">
        <v>10</v>
      </c>
      <c r="AM106" s="142">
        <v>2</v>
      </c>
      <c r="AN106" s="142">
        <v>40</v>
      </c>
      <c r="AO106" s="143">
        <v>1509</v>
      </c>
      <c r="AQ106" s="163" t="str">
        <f t="shared" si="15"/>
        <v>P20S1A32</v>
      </c>
      <c r="AR106" s="163"/>
      <c r="AS106" s="165">
        <v>20</v>
      </c>
      <c r="AT106" s="163">
        <v>1</v>
      </c>
      <c r="AU106" s="166">
        <v>32</v>
      </c>
      <c r="AV106" s="166">
        <v>305</v>
      </c>
    </row>
    <row r="107" spans="1:48">
      <c r="A107" s="30" t="str">
        <f t="shared" si="10"/>
        <v>P01S2A19</v>
      </c>
      <c r="B107" s="30"/>
      <c r="C107" s="30">
        <v>1</v>
      </c>
      <c r="D107" s="30">
        <v>2</v>
      </c>
      <c r="E107" s="30">
        <v>19</v>
      </c>
      <c r="F107" s="31">
        <v>1224</v>
      </c>
      <c r="H107" s="30" t="str">
        <f t="shared" si="11"/>
        <v>P15S2A44</v>
      </c>
      <c r="I107" s="30"/>
      <c r="J107" s="30">
        <v>15</v>
      </c>
      <c r="K107" s="30">
        <v>2</v>
      </c>
      <c r="L107" s="30">
        <v>44</v>
      </c>
      <c r="M107" s="31">
        <v>2590</v>
      </c>
      <c r="O107" s="30" t="str">
        <f t="shared" si="12"/>
        <v>P20S2A27</v>
      </c>
      <c r="P107" s="30">
        <v>2943</v>
      </c>
      <c r="Q107" s="30">
        <v>20</v>
      </c>
      <c r="R107" s="30">
        <v>2</v>
      </c>
      <c r="S107" s="30">
        <v>27</v>
      </c>
      <c r="T107" s="31">
        <v>2477</v>
      </c>
      <c r="V107" s="30" t="str">
        <f t="shared" si="13"/>
        <v>P15S2A22</v>
      </c>
      <c r="W107" s="30">
        <v>2223</v>
      </c>
      <c r="X107" s="30">
        <v>15</v>
      </c>
      <c r="Y107" s="30">
        <v>2</v>
      </c>
      <c r="Z107" s="30">
        <v>22</v>
      </c>
      <c r="AA107" s="31">
        <v>10890</v>
      </c>
      <c r="AC107" s="144" t="str">
        <f t="shared" si="8"/>
        <v>P15S1A33</v>
      </c>
      <c r="AD107" s="144"/>
      <c r="AE107" s="144">
        <v>15</v>
      </c>
      <c r="AF107" s="144">
        <v>1</v>
      </c>
      <c r="AG107" s="144">
        <v>33</v>
      </c>
      <c r="AH107" s="143">
        <v>920</v>
      </c>
      <c r="AJ107" s="142" t="str">
        <f t="shared" si="14"/>
        <v>P10S2A41</v>
      </c>
      <c r="AK107" s="142"/>
      <c r="AL107" s="142">
        <v>10</v>
      </c>
      <c r="AM107" s="142">
        <v>2</v>
      </c>
      <c r="AN107" s="142">
        <v>41</v>
      </c>
      <c r="AO107" s="143">
        <v>1511</v>
      </c>
      <c r="AQ107" s="163" t="str">
        <f t="shared" si="15"/>
        <v>P20S1A33</v>
      </c>
      <c r="AR107" s="163"/>
      <c r="AS107" s="165">
        <v>20</v>
      </c>
      <c r="AT107" s="163">
        <v>1</v>
      </c>
      <c r="AU107" s="166">
        <v>33</v>
      </c>
      <c r="AV107" s="166">
        <v>327</v>
      </c>
    </row>
    <row r="108" spans="1:48">
      <c r="A108" s="30" t="str">
        <f t="shared" si="10"/>
        <v>P01S2A20</v>
      </c>
      <c r="B108" s="30"/>
      <c r="C108" s="30">
        <v>1</v>
      </c>
      <c r="D108" s="30">
        <v>2</v>
      </c>
      <c r="E108" s="30">
        <v>20</v>
      </c>
      <c r="F108" s="31">
        <v>1409</v>
      </c>
      <c r="H108" s="30" t="str">
        <f t="shared" si="11"/>
        <v>P15S2A45</v>
      </c>
      <c r="I108" s="30"/>
      <c r="J108" s="30">
        <v>15</v>
      </c>
      <c r="K108" s="30">
        <v>2</v>
      </c>
      <c r="L108" s="30">
        <v>45</v>
      </c>
      <c r="M108" s="31">
        <v>2644</v>
      </c>
      <c r="O108" s="30" t="str">
        <f t="shared" si="12"/>
        <v>P20S2A28</v>
      </c>
      <c r="P108" s="30">
        <v>2943</v>
      </c>
      <c r="Q108" s="30">
        <v>20</v>
      </c>
      <c r="R108" s="30">
        <v>2</v>
      </c>
      <c r="S108" s="30">
        <v>28</v>
      </c>
      <c r="T108" s="31">
        <v>2436</v>
      </c>
      <c r="V108" s="30" t="str">
        <f t="shared" si="13"/>
        <v>P15S2A23</v>
      </c>
      <c r="W108" s="30">
        <v>2223</v>
      </c>
      <c r="X108" s="30">
        <v>15</v>
      </c>
      <c r="Y108" s="30">
        <v>2</v>
      </c>
      <c r="Z108" s="30">
        <v>23</v>
      </c>
      <c r="AA108" s="31">
        <v>10858.999999999998</v>
      </c>
      <c r="AC108" s="144" t="str">
        <f t="shared" si="8"/>
        <v>P15S1A34</v>
      </c>
      <c r="AD108" s="144"/>
      <c r="AE108" s="144">
        <v>15</v>
      </c>
      <c r="AF108" s="144">
        <v>1</v>
      </c>
      <c r="AG108" s="144">
        <v>34</v>
      </c>
      <c r="AH108" s="143">
        <v>929</v>
      </c>
      <c r="AJ108" s="142" t="str">
        <f t="shared" si="14"/>
        <v>P10S2A42</v>
      </c>
      <c r="AK108" s="142"/>
      <c r="AL108" s="142">
        <v>10</v>
      </c>
      <c r="AM108" s="142">
        <v>2</v>
      </c>
      <c r="AN108" s="142">
        <v>42</v>
      </c>
      <c r="AO108" s="143">
        <v>1513</v>
      </c>
      <c r="AQ108" s="163" t="str">
        <f t="shared" si="15"/>
        <v>P20S1A34</v>
      </c>
      <c r="AR108" s="163"/>
      <c r="AS108" s="165">
        <v>20</v>
      </c>
      <c r="AT108" s="163">
        <v>1</v>
      </c>
      <c r="AU108" s="166">
        <v>34</v>
      </c>
      <c r="AV108" s="166">
        <v>350</v>
      </c>
    </row>
    <row r="109" spans="1:48">
      <c r="A109" s="30" t="str">
        <f t="shared" si="10"/>
        <v>P01S2A21</v>
      </c>
      <c r="B109" s="30"/>
      <c r="C109" s="30">
        <v>1</v>
      </c>
      <c r="D109" s="30">
        <v>2</v>
      </c>
      <c r="E109" s="30">
        <v>21</v>
      </c>
      <c r="F109" s="31">
        <v>1453</v>
      </c>
      <c r="H109" s="30" t="str">
        <f t="shared" si="11"/>
        <v>P15S2A46</v>
      </c>
      <c r="I109" s="30"/>
      <c r="J109" s="30">
        <v>15</v>
      </c>
      <c r="K109" s="30">
        <v>2</v>
      </c>
      <c r="L109" s="30">
        <v>46</v>
      </c>
      <c r="M109" s="31">
        <v>2703</v>
      </c>
      <c r="O109" s="30" t="str">
        <f t="shared" si="12"/>
        <v>P20S2A29</v>
      </c>
      <c r="P109" s="30">
        <v>2943</v>
      </c>
      <c r="Q109" s="30">
        <v>20</v>
      </c>
      <c r="R109" s="30">
        <v>2</v>
      </c>
      <c r="S109" s="30">
        <v>29</v>
      </c>
      <c r="T109" s="31">
        <v>2393</v>
      </c>
      <c r="V109" s="30" t="str">
        <f t="shared" si="13"/>
        <v>P15S2A24</v>
      </c>
      <c r="W109" s="30">
        <v>2223</v>
      </c>
      <c r="X109" s="30">
        <v>15</v>
      </c>
      <c r="Y109" s="30">
        <v>2</v>
      </c>
      <c r="Z109" s="30">
        <v>24</v>
      </c>
      <c r="AA109" s="31">
        <v>10829</v>
      </c>
      <c r="AC109" s="144" t="str">
        <f t="shared" si="8"/>
        <v>P15S1A35</v>
      </c>
      <c r="AD109" s="144"/>
      <c r="AE109" s="144">
        <v>15</v>
      </c>
      <c r="AF109" s="144">
        <v>1</v>
      </c>
      <c r="AG109" s="144">
        <v>35</v>
      </c>
      <c r="AH109" s="143">
        <v>938</v>
      </c>
      <c r="AJ109" s="142" t="str">
        <f t="shared" si="14"/>
        <v>P10S2A43</v>
      </c>
      <c r="AK109" s="142"/>
      <c r="AL109" s="142">
        <v>10</v>
      </c>
      <c r="AM109" s="142">
        <v>2</v>
      </c>
      <c r="AN109" s="142">
        <v>43</v>
      </c>
      <c r="AO109" s="143">
        <v>1515</v>
      </c>
      <c r="AQ109" s="163" t="str">
        <f t="shared" si="15"/>
        <v>P20S1A35</v>
      </c>
      <c r="AR109" s="163"/>
      <c r="AS109" s="165">
        <v>20</v>
      </c>
      <c r="AT109" s="163">
        <v>1</v>
      </c>
      <c r="AU109" s="166">
        <v>35</v>
      </c>
      <c r="AV109" s="166">
        <v>374</v>
      </c>
    </row>
    <row r="110" spans="1:48">
      <c r="A110" s="30" t="str">
        <f t="shared" si="10"/>
        <v>P01S2A22</v>
      </c>
      <c r="B110" s="30"/>
      <c r="C110" s="30">
        <v>1</v>
      </c>
      <c r="D110" s="30">
        <v>2</v>
      </c>
      <c r="E110" s="30">
        <v>22</v>
      </c>
      <c r="F110" s="31">
        <v>1497</v>
      </c>
      <c r="H110" s="30" t="str">
        <f t="shared" si="11"/>
        <v>P15S2A47</v>
      </c>
      <c r="I110" s="30"/>
      <c r="J110" s="30">
        <v>15</v>
      </c>
      <c r="K110" s="30">
        <v>2</v>
      </c>
      <c r="L110" s="30">
        <v>47</v>
      </c>
      <c r="M110" s="31">
        <v>2769</v>
      </c>
      <c r="O110" s="30" t="str">
        <f t="shared" si="12"/>
        <v>P20S2A30</v>
      </c>
      <c r="P110" s="30">
        <v>2943</v>
      </c>
      <c r="Q110" s="30">
        <v>20</v>
      </c>
      <c r="R110" s="30">
        <v>2</v>
      </c>
      <c r="S110" s="30">
        <v>30</v>
      </c>
      <c r="T110" s="31">
        <v>2345</v>
      </c>
      <c r="V110" s="30" t="str">
        <f t="shared" si="13"/>
        <v>P15S2A25</v>
      </c>
      <c r="W110" s="30">
        <v>2223</v>
      </c>
      <c r="X110" s="30">
        <v>15</v>
      </c>
      <c r="Y110" s="30">
        <v>2</v>
      </c>
      <c r="Z110" s="30">
        <v>25</v>
      </c>
      <c r="AA110" s="31">
        <v>10799.999999999998</v>
      </c>
      <c r="AC110" s="144" t="str">
        <f t="shared" si="8"/>
        <v>P15S1A36</v>
      </c>
      <c r="AD110" s="144"/>
      <c r="AE110" s="144">
        <v>15</v>
      </c>
      <c r="AF110" s="144">
        <v>1</v>
      </c>
      <c r="AG110" s="144">
        <v>36</v>
      </c>
      <c r="AH110" s="143">
        <v>947</v>
      </c>
      <c r="AJ110" s="142" t="str">
        <f t="shared" si="14"/>
        <v>P10S2A44</v>
      </c>
      <c r="AK110" s="142"/>
      <c r="AL110" s="142">
        <v>10</v>
      </c>
      <c r="AM110" s="142">
        <v>2</v>
      </c>
      <c r="AN110" s="142">
        <v>44</v>
      </c>
      <c r="AO110" s="143">
        <v>1516</v>
      </c>
      <c r="AQ110" s="163" t="str">
        <f t="shared" si="15"/>
        <v>P20S1A36</v>
      </c>
      <c r="AR110" s="163"/>
      <c r="AS110" s="165">
        <v>20</v>
      </c>
      <c r="AT110" s="163">
        <v>1</v>
      </c>
      <c r="AU110" s="166">
        <v>36</v>
      </c>
      <c r="AV110" s="166">
        <v>398</v>
      </c>
    </row>
    <row r="111" spans="1:48">
      <c r="A111" s="30" t="str">
        <f t="shared" si="10"/>
        <v>P01S2A23</v>
      </c>
      <c r="B111" s="30"/>
      <c r="C111" s="30">
        <v>1</v>
      </c>
      <c r="D111" s="30">
        <v>2</v>
      </c>
      <c r="E111" s="30">
        <v>23</v>
      </c>
      <c r="F111" s="31">
        <v>1610</v>
      </c>
      <c r="H111" s="30" t="str">
        <f t="shared" si="11"/>
        <v>P15S2A48</v>
      </c>
      <c r="I111" s="30"/>
      <c r="J111" s="30">
        <v>15</v>
      </c>
      <c r="K111" s="30">
        <v>2</v>
      </c>
      <c r="L111" s="30">
        <v>48</v>
      </c>
      <c r="M111" s="31">
        <v>2841</v>
      </c>
      <c r="O111" s="30" t="str">
        <f t="shared" si="12"/>
        <v>P20S2A31</v>
      </c>
      <c r="P111" s="30">
        <v>2943</v>
      </c>
      <c r="Q111" s="30">
        <v>20</v>
      </c>
      <c r="R111" s="30">
        <v>2</v>
      </c>
      <c r="S111" s="30">
        <v>31</v>
      </c>
      <c r="T111" s="31">
        <v>2294</v>
      </c>
      <c r="V111" s="30" t="str">
        <f t="shared" si="13"/>
        <v>P15S2A26</v>
      </c>
      <c r="W111" s="30">
        <v>2223</v>
      </c>
      <c r="X111" s="30">
        <v>15</v>
      </c>
      <c r="Y111" s="30">
        <v>2</v>
      </c>
      <c r="Z111" s="30">
        <v>26</v>
      </c>
      <c r="AA111" s="31">
        <v>10773</v>
      </c>
      <c r="AC111" s="144" t="str">
        <f t="shared" si="8"/>
        <v>P15S1A37</v>
      </c>
      <c r="AD111" s="144"/>
      <c r="AE111" s="144">
        <v>15</v>
      </c>
      <c r="AF111" s="144">
        <v>1</v>
      </c>
      <c r="AG111" s="144">
        <v>37</v>
      </c>
      <c r="AH111" s="143">
        <v>956</v>
      </c>
      <c r="AJ111" s="142" t="str">
        <f t="shared" si="14"/>
        <v>P10S2A45</v>
      </c>
      <c r="AK111" s="142"/>
      <c r="AL111" s="142">
        <v>10</v>
      </c>
      <c r="AM111" s="142">
        <v>2</v>
      </c>
      <c r="AN111" s="142">
        <v>45</v>
      </c>
      <c r="AO111" s="143">
        <v>1519</v>
      </c>
      <c r="AQ111" s="163" t="str">
        <f t="shared" si="15"/>
        <v>P20S1A37</v>
      </c>
      <c r="AR111" s="163"/>
      <c r="AS111" s="165">
        <v>20</v>
      </c>
      <c r="AT111" s="163">
        <v>1</v>
      </c>
      <c r="AU111" s="166">
        <v>37</v>
      </c>
      <c r="AV111" s="166">
        <v>423</v>
      </c>
    </row>
    <row r="112" spans="1:48">
      <c r="A112" s="30" t="str">
        <f t="shared" si="10"/>
        <v>P01S2A24</v>
      </c>
      <c r="B112" s="30"/>
      <c r="C112" s="30">
        <v>1</v>
      </c>
      <c r="D112" s="30">
        <v>2</v>
      </c>
      <c r="E112" s="30">
        <v>24</v>
      </c>
      <c r="F112" s="31">
        <v>1722</v>
      </c>
      <c r="H112" s="30" t="str">
        <f t="shared" si="11"/>
        <v>P15S2A49</v>
      </c>
      <c r="I112" s="30"/>
      <c r="J112" s="30">
        <v>15</v>
      </c>
      <c r="K112" s="30">
        <v>2</v>
      </c>
      <c r="L112" s="30">
        <v>49</v>
      </c>
      <c r="M112" s="31">
        <v>2919</v>
      </c>
      <c r="O112" s="30" t="str">
        <f t="shared" si="12"/>
        <v>P20S2A32</v>
      </c>
      <c r="P112" s="30">
        <v>2943</v>
      </c>
      <c r="Q112" s="30">
        <v>20</v>
      </c>
      <c r="R112" s="30">
        <v>2</v>
      </c>
      <c r="S112" s="30">
        <v>32</v>
      </c>
      <c r="T112" s="31">
        <v>2239</v>
      </c>
      <c r="V112" s="30" t="str">
        <f t="shared" si="13"/>
        <v>P15S2A27</v>
      </c>
      <c r="W112" s="30">
        <v>2223</v>
      </c>
      <c r="X112" s="30">
        <v>15</v>
      </c>
      <c r="Y112" s="30">
        <v>2</v>
      </c>
      <c r="Z112" s="30">
        <v>27</v>
      </c>
      <c r="AA112" s="31">
        <v>10749</v>
      </c>
      <c r="AC112" s="144" t="str">
        <f t="shared" si="8"/>
        <v>P15S1A38</v>
      </c>
      <c r="AD112" s="144"/>
      <c r="AE112" s="144">
        <v>15</v>
      </c>
      <c r="AF112" s="144">
        <v>1</v>
      </c>
      <c r="AG112" s="144">
        <v>38</v>
      </c>
      <c r="AH112" s="143">
        <v>965</v>
      </c>
      <c r="AJ112" s="142" t="str">
        <f t="shared" si="14"/>
        <v>P10S2A46</v>
      </c>
      <c r="AK112" s="142"/>
      <c r="AL112" s="142">
        <v>10</v>
      </c>
      <c r="AM112" s="142">
        <v>2</v>
      </c>
      <c r="AN112" s="142">
        <v>46</v>
      </c>
      <c r="AO112" s="143">
        <v>1521</v>
      </c>
      <c r="AQ112" s="163" t="str">
        <f t="shared" si="15"/>
        <v>P20S1A38</v>
      </c>
      <c r="AR112" s="163"/>
      <c r="AS112" s="165">
        <v>20</v>
      </c>
      <c r="AT112" s="163">
        <v>1</v>
      </c>
      <c r="AU112" s="166">
        <v>38</v>
      </c>
      <c r="AV112" s="166">
        <v>449</v>
      </c>
    </row>
    <row r="113" spans="1:48">
      <c r="A113" s="30" t="str">
        <f t="shared" si="10"/>
        <v>P01S2A25</v>
      </c>
      <c r="B113" s="30"/>
      <c r="C113" s="30">
        <v>1</v>
      </c>
      <c r="D113" s="30">
        <v>2</v>
      </c>
      <c r="E113" s="30">
        <v>25</v>
      </c>
      <c r="F113" s="31">
        <v>1958</v>
      </c>
      <c r="H113" s="30" t="str">
        <f t="shared" si="11"/>
        <v>P15S2A50</v>
      </c>
      <c r="I113" s="30"/>
      <c r="J113" s="30">
        <v>15</v>
      </c>
      <c r="K113" s="30">
        <v>2</v>
      </c>
      <c r="L113" s="30">
        <v>50</v>
      </c>
      <c r="M113" s="31">
        <v>3003</v>
      </c>
      <c r="O113" s="30" t="str">
        <f t="shared" si="12"/>
        <v>P20S2A33</v>
      </c>
      <c r="P113" s="30">
        <v>2943</v>
      </c>
      <c r="Q113" s="30">
        <v>20</v>
      </c>
      <c r="R113" s="30">
        <v>2</v>
      </c>
      <c r="S113" s="30">
        <v>33</v>
      </c>
      <c r="T113" s="31">
        <v>2180</v>
      </c>
      <c r="V113" s="30" t="str">
        <f t="shared" si="13"/>
        <v>P15S2A28</v>
      </c>
      <c r="W113" s="30">
        <v>2223</v>
      </c>
      <c r="X113" s="30">
        <v>15</v>
      </c>
      <c r="Y113" s="30">
        <v>2</v>
      </c>
      <c r="Z113" s="30">
        <v>28</v>
      </c>
      <c r="AA113" s="31">
        <v>10728</v>
      </c>
      <c r="AC113" s="144" t="str">
        <f t="shared" si="8"/>
        <v>P15S1A39</v>
      </c>
      <c r="AD113" s="144"/>
      <c r="AE113" s="144">
        <v>15</v>
      </c>
      <c r="AF113" s="144">
        <v>1</v>
      </c>
      <c r="AG113" s="144">
        <v>39</v>
      </c>
      <c r="AH113" s="143">
        <v>973</v>
      </c>
      <c r="AJ113" s="142" t="str">
        <f t="shared" si="14"/>
        <v>P10S2A47</v>
      </c>
      <c r="AK113" s="142"/>
      <c r="AL113" s="142">
        <v>10</v>
      </c>
      <c r="AM113" s="142">
        <v>2</v>
      </c>
      <c r="AN113" s="142">
        <v>47</v>
      </c>
      <c r="AO113" s="143">
        <v>1524</v>
      </c>
      <c r="AQ113" s="163" t="str">
        <f t="shared" si="15"/>
        <v>P20S1A39</v>
      </c>
      <c r="AR113" s="163"/>
      <c r="AS113" s="165">
        <v>20</v>
      </c>
      <c r="AT113" s="163">
        <v>1</v>
      </c>
      <c r="AU113" s="167">
        <v>39</v>
      </c>
      <c r="AV113" s="164">
        <v>477</v>
      </c>
    </row>
    <row r="114" spans="1:48">
      <c r="A114" s="30" t="str">
        <f t="shared" si="10"/>
        <v>P01S2A26</v>
      </c>
      <c r="B114" s="30"/>
      <c r="C114" s="30">
        <v>1</v>
      </c>
      <c r="D114" s="30">
        <v>2</v>
      </c>
      <c r="E114" s="30">
        <v>26</v>
      </c>
      <c r="F114" s="31">
        <v>2078</v>
      </c>
      <c r="H114" s="30" t="str">
        <f t="shared" si="11"/>
        <v>P15S2A51</v>
      </c>
      <c r="I114" s="30"/>
      <c r="J114" s="30">
        <v>15</v>
      </c>
      <c r="K114" s="30">
        <v>2</v>
      </c>
      <c r="L114" s="30">
        <v>51</v>
      </c>
      <c r="M114" s="31">
        <v>3095</v>
      </c>
      <c r="O114" s="30" t="str">
        <f t="shared" si="12"/>
        <v>P20S2A34</v>
      </c>
      <c r="P114" s="30">
        <v>2943</v>
      </c>
      <c r="Q114" s="30">
        <v>20</v>
      </c>
      <c r="R114" s="30">
        <v>2</v>
      </c>
      <c r="S114" s="30">
        <v>34</v>
      </c>
      <c r="T114" s="31">
        <v>2118</v>
      </c>
      <c r="V114" s="30" t="str">
        <f t="shared" si="13"/>
        <v>P15S2A29</v>
      </c>
      <c r="W114" s="30">
        <v>2223</v>
      </c>
      <c r="X114" s="30">
        <v>15</v>
      </c>
      <c r="Y114" s="30">
        <v>2</v>
      </c>
      <c r="Z114" s="30">
        <v>29</v>
      </c>
      <c r="AA114" s="31">
        <v>10709</v>
      </c>
      <c r="AC114" s="144" t="str">
        <f t="shared" si="8"/>
        <v>P15S1A40</v>
      </c>
      <c r="AD114" s="144"/>
      <c r="AE114" s="144">
        <v>15</v>
      </c>
      <c r="AF114" s="144">
        <v>1</v>
      </c>
      <c r="AG114" s="144">
        <v>40</v>
      </c>
      <c r="AH114" s="143">
        <v>976</v>
      </c>
      <c r="AJ114" s="142" t="str">
        <f t="shared" si="14"/>
        <v>P10S2A48</v>
      </c>
      <c r="AK114" s="142"/>
      <c r="AL114" s="142">
        <v>10</v>
      </c>
      <c r="AM114" s="142">
        <v>2</v>
      </c>
      <c r="AN114" s="142">
        <v>48</v>
      </c>
      <c r="AO114" s="143">
        <v>1526</v>
      </c>
      <c r="AQ114" s="163" t="str">
        <f t="shared" si="15"/>
        <v>P20S1A40</v>
      </c>
      <c r="AR114" s="163"/>
      <c r="AS114" s="165">
        <v>20</v>
      </c>
      <c r="AT114" s="163">
        <v>1</v>
      </c>
      <c r="AU114" s="167">
        <v>40</v>
      </c>
      <c r="AV114" s="164">
        <v>506</v>
      </c>
    </row>
    <row r="115" spans="1:48">
      <c r="A115" s="30" t="str">
        <f t="shared" si="10"/>
        <v>P01S2A27</v>
      </c>
      <c r="B115" s="30"/>
      <c r="C115" s="30">
        <v>1</v>
      </c>
      <c r="D115" s="30">
        <v>2</v>
      </c>
      <c r="E115" s="30">
        <v>27</v>
      </c>
      <c r="F115" s="31">
        <v>2198</v>
      </c>
      <c r="H115" s="30" t="str">
        <f t="shared" si="11"/>
        <v>P15S2A52</v>
      </c>
      <c r="I115" s="30"/>
      <c r="J115" s="30">
        <v>15</v>
      </c>
      <c r="K115" s="30">
        <v>2</v>
      </c>
      <c r="L115" s="30">
        <v>52</v>
      </c>
      <c r="M115" s="31">
        <v>3196</v>
      </c>
      <c r="O115" s="30" t="str">
        <f t="shared" si="12"/>
        <v>P20S2A35</v>
      </c>
      <c r="P115" s="30">
        <v>2943</v>
      </c>
      <c r="Q115" s="30">
        <v>20</v>
      </c>
      <c r="R115" s="30">
        <v>2</v>
      </c>
      <c r="S115" s="30">
        <v>35</v>
      </c>
      <c r="T115" s="31">
        <v>2052</v>
      </c>
      <c r="V115" s="30" t="str">
        <f t="shared" si="13"/>
        <v>P15S2A30</v>
      </c>
      <c r="W115" s="30">
        <v>2223</v>
      </c>
      <c r="X115" s="30">
        <v>15</v>
      </c>
      <c r="Y115" s="30">
        <v>2</v>
      </c>
      <c r="Z115" s="30">
        <v>30</v>
      </c>
      <c r="AA115" s="31">
        <v>10693.999999999998</v>
      </c>
      <c r="AC115" s="144" t="str">
        <f t="shared" si="8"/>
        <v>P15S1A41</v>
      </c>
      <c r="AD115" s="144"/>
      <c r="AE115" s="144">
        <v>15</v>
      </c>
      <c r="AF115" s="144">
        <v>1</v>
      </c>
      <c r="AG115" s="144">
        <v>41</v>
      </c>
      <c r="AH115" s="143">
        <v>977</v>
      </c>
      <c r="AJ115" s="142" t="str">
        <f t="shared" si="14"/>
        <v>P10S2A49</v>
      </c>
      <c r="AK115" s="142"/>
      <c r="AL115" s="142">
        <v>10</v>
      </c>
      <c r="AM115" s="142">
        <v>2</v>
      </c>
      <c r="AN115" s="142">
        <v>49</v>
      </c>
      <c r="AO115" s="143">
        <v>1528</v>
      </c>
      <c r="AQ115" s="163" t="str">
        <f t="shared" si="15"/>
        <v>P20S1A41</v>
      </c>
      <c r="AR115" s="163"/>
      <c r="AS115" s="165">
        <v>20</v>
      </c>
      <c r="AT115" s="163">
        <v>1</v>
      </c>
      <c r="AU115" s="167">
        <v>41</v>
      </c>
      <c r="AV115" s="164">
        <v>531</v>
      </c>
    </row>
    <row r="116" spans="1:48">
      <c r="A116" s="30" t="str">
        <f t="shared" si="10"/>
        <v>P01S2A28</v>
      </c>
      <c r="B116" s="30"/>
      <c r="C116" s="30">
        <v>1</v>
      </c>
      <c r="D116" s="30">
        <v>2</v>
      </c>
      <c r="E116" s="30">
        <v>28</v>
      </c>
      <c r="F116" s="31">
        <v>2334</v>
      </c>
      <c r="H116" s="30" t="str">
        <f t="shared" si="11"/>
        <v>P15S2A53</v>
      </c>
      <c r="I116" s="30"/>
      <c r="J116" s="30">
        <v>15</v>
      </c>
      <c r="K116" s="30">
        <v>2</v>
      </c>
      <c r="L116" s="30">
        <v>53</v>
      </c>
      <c r="M116" s="31">
        <v>3307</v>
      </c>
      <c r="O116" s="30" t="str">
        <f t="shared" si="12"/>
        <v>P20S2A36</v>
      </c>
      <c r="P116" s="30">
        <v>2943</v>
      </c>
      <c r="Q116" s="30">
        <v>20</v>
      </c>
      <c r="R116" s="30">
        <v>2</v>
      </c>
      <c r="S116" s="30">
        <v>36</v>
      </c>
      <c r="T116" s="31">
        <v>1981.9999999999998</v>
      </c>
      <c r="V116" s="30" t="str">
        <f t="shared" si="13"/>
        <v>P15S2A31</v>
      </c>
      <c r="W116" s="30">
        <v>2223</v>
      </c>
      <c r="X116" s="30">
        <v>15</v>
      </c>
      <c r="Y116" s="30">
        <v>2</v>
      </c>
      <c r="Z116" s="30">
        <v>31</v>
      </c>
      <c r="AA116" s="31">
        <v>10682.999999999998</v>
      </c>
      <c r="AC116" s="144" t="str">
        <f t="shared" si="8"/>
        <v>P15S1A42</v>
      </c>
      <c r="AD116" s="144"/>
      <c r="AE116" s="144">
        <v>15</v>
      </c>
      <c r="AF116" s="144">
        <v>1</v>
      </c>
      <c r="AG116" s="144">
        <v>42</v>
      </c>
      <c r="AH116" s="143">
        <v>981</v>
      </c>
      <c r="AJ116" s="142" t="str">
        <f t="shared" si="14"/>
        <v>P10S2A50</v>
      </c>
      <c r="AK116" s="142"/>
      <c r="AL116" s="142">
        <v>10</v>
      </c>
      <c r="AM116" s="142">
        <v>2</v>
      </c>
      <c r="AN116" s="142">
        <v>50</v>
      </c>
      <c r="AO116" s="143">
        <v>1530</v>
      </c>
      <c r="AQ116" s="163" t="str">
        <f t="shared" si="15"/>
        <v>P20S1A42</v>
      </c>
      <c r="AR116" s="163"/>
      <c r="AS116" s="165">
        <v>20</v>
      </c>
      <c r="AT116" s="163">
        <v>1</v>
      </c>
      <c r="AU116" s="167">
        <v>42</v>
      </c>
      <c r="AV116" s="164">
        <v>558</v>
      </c>
    </row>
    <row r="117" spans="1:48">
      <c r="A117" s="30" t="str">
        <f t="shared" si="10"/>
        <v>P01S2A29</v>
      </c>
      <c r="B117" s="30"/>
      <c r="C117" s="30">
        <v>1</v>
      </c>
      <c r="D117" s="30">
        <v>2</v>
      </c>
      <c r="E117" s="30">
        <v>29</v>
      </c>
      <c r="F117" s="31">
        <v>2471</v>
      </c>
      <c r="H117" s="30" t="str">
        <f t="shared" si="11"/>
        <v>P15S2A54</v>
      </c>
      <c r="I117" s="30"/>
      <c r="J117" s="30">
        <v>15</v>
      </c>
      <c r="K117" s="30">
        <v>2</v>
      </c>
      <c r="L117" s="30">
        <v>54</v>
      </c>
      <c r="M117" s="31">
        <v>3428</v>
      </c>
      <c r="O117" s="30" t="str">
        <f t="shared" si="12"/>
        <v>P20S2A37</v>
      </c>
      <c r="P117" s="30">
        <v>2943</v>
      </c>
      <c r="Q117" s="30">
        <v>20</v>
      </c>
      <c r="R117" s="30">
        <v>2</v>
      </c>
      <c r="S117" s="30">
        <v>37</v>
      </c>
      <c r="T117" s="31">
        <v>1910</v>
      </c>
      <c r="V117" s="30" t="str">
        <f t="shared" si="13"/>
        <v>P15S2A32</v>
      </c>
      <c r="W117" s="30">
        <v>2223</v>
      </c>
      <c r="X117" s="30">
        <v>15</v>
      </c>
      <c r="Y117" s="30">
        <v>2</v>
      </c>
      <c r="Z117" s="30">
        <v>32</v>
      </c>
      <c r="AA117" s="31">
        <v>10676.999999999998</v>
      </c>
      <c r="AC117" s="144" t="str">
        <f t="shared" si="8"/>
        <v>P15S1A43</v>
      </c>
      <c r="AD117" s="144"/>
      <c r="AE117" s="144">
        <v>15</v>
      </c>
      <c r="AF117" s="144">
        <v>1</v>
      </c>
      <c r="AG117" s="144">
        <v>43</v>
      </c>
      <c r="AH117" s="143">
        <v>984</v>
      </c>
      <c r="AJ117" s="142" t="str">
        <f t="shared" si="14"/>
        <v>P10S2A51</v>
      </c>
      <c r="AK117" s="142"/>
      <c r="AL117" s="142">
        <v>10</v>
      </c>
      <c r="AM117" s="142">
        <v>2</v>
      </c>
      <c r="AN117" s="142">
        <v>51</v>
      </c>
      <c r="AO117" s="143">
        <v>1533</v>
      </c>
      <c r="AQ117" s="163" t="str">
        <f t="shared" si="15"/>
        <v>P20S1A43</v>
      </c>
      <c r="AR117" s="163"/>
      <c r="AS117" s="165">
        <v>20</v>
      </c>
      <c r="AT117" s="163">
        <v>1</v>
      </c>
      <c r="AU117" s="167">
        <v>43</v>
      </c>
      <c r="AV117" s="164">
        <v>585</v>
      </c>
    </row>
    <row r="118" spans="1:48">
      <c r="A118" s="30" t="str">
        <f t="shared" si="10"/>
        <v>P01S2A30</v>
      </c>
      <c r="B118" s="30"/>
      <c r="C118" s="30">
        <v>1</v>
      </c>
      <c r="D118" s="30">
        <v>2</v>
      </c>
      <c r="E118" s="30">
        <v>30</v>
      </c>
      <c r="F118" s="31">
        <v>2710</v>
      </c>
      <c r="H118" s="30" t="str">
        <f t="shared" si="11"/>
        <v>P15S2A55</v>
      </c>
      <c r="I118" s="30"/>
      <c r="J118" s="30">
        <v>15</v>
      </c>
      <c r="K118" s="30">
        <v>2</v>
      </c>
      <c r="L118" s="30">
        <v>55</v>
      </c>
      <c r="M118" s="31">
        <v>3560</v>
      </c>
      <c r="O118" s="30" t="str">
        <f t="shared" si="12"/>
        <v>P20S2A38</v>
      </c>
      <c r="P118" s="30">
        <v>2943</v>
      </c>
      <c r="Q118" s="30">
        <v>20</v>
      </c>
      <c r="R118" s="30">
        <v>2</v>
      </c>
      <c r="S118" s="30">
        <v>38</v>
      </c>
      <c r="T118" s="31">
        <v>1835</v>
      </c>
      <c r="V118" s="30" t="str">
        <f t="shared" si="13"/>
        <v>P15S2A33</v>
      </c>
      <c r="W118" s="30">
        <v>2223</v>
      </c>
      <c r="X118" s="30">
        <v>15</v>
      </c>
      <c r="Y118" s="30">
        <v>2</v>
      </c>
      <c r="Z118" s="30">
        <v>33</v>
      </c>
      <c r="AA118" s="31">
        <v>10673.999999999998</v>
      </c>
      <c r="AC118" s="144" t="str">
        <f t="shared" si="8"/>
        <v>P15S1A44</v>
      </c>
      <c r="AD118" s="144"/>
      <c r="AE118" s="144">
        <v>15</v>
      </c>
      <c r="AF118" s="144">
        <v>1</v>
      </c>
      <c r="AG118" s="144">
        <v>44</v>
      </c>
      <c r="AH118" s="143">
        <v>987</v>
      </c>
      <c r="AJ118" s="142" t="str">
        <f t="shared" si="14"/>
        <v>P10S2A52</v>
      </c>
      <c r="AK118" s="142"/>
      <c r="AL118" s="142">
        <v>10</v>
      </c>
      <c r="AM118" s="142">
        <v>2</v>
      </c>
      <c r="AN118" s="142">
        <v>52</v>
      </c>
      <c r="AO118" s="143">
        <v>1533</v>
      </c>
      <c r="AQ118" s="163" t="str">
        <f t="shared" si="15"/>
        <v>P20S1A44</v>
      </c>
      <c r="AR118" s="163"/>
      <c r="AS118" s="165">
        <v>20</v>
      </c>
      <c r="AT118" s="163">
        <v>1</v>
      </c>
      <c r="AU118" s="167">
        <v>44</v>
      </c>
      <c r="AV118" s="164">
        <v>614</v>
      </c>
    </row>
    <row r="119" spans="1:48">
      <c r="A119" s="30" t="str">
        <f t="shared" si="10"/>
        <v>P01S2A31</v>
      </c>
      <c r="B119" s="30"/>
      <c r="C119" s="30">
        <v>1</v>
      </c>
      <c r="D119" s="30">
        <v>2</v>
      </c>
      <c r="E119" s="30">
        <v>31</v>
      </c>
      <c r="F119" s="31">
        <v>2851</v>
      </c>
      <c r="H119" s="30" t="str">
        <f t="shared" si="11"/>
        <v>P15S2A56</v>
      </c>
      <c r="I119" s="30"/>
      <c r="J119" s="30">
        <v>15</v>
      </c>
      <c r="K119" s="30">
        <v>2</v>
      </c>
      <c r="L119" s="30">
        <v>56</v>
      </c>
      <c r="M119" s="31">
        <v>3708</v>
      </c>
      <c r="O119" s="30" t="str">
        <f t="shared" si="12"/>
        <v>P20S2A39</v>
      </c>
      <c r="P119" s="30">
        <v>2943</v>
      </c>
      <c r="Q119" s="30">
        <v>20</v>
      </c>
      <c r="R119" s="30">
        <v>2</v>
      </c>
      <c r="S119" s="30">
        <v>39</v>
      </c>
      <c r="T119" s="31">
        <v>1758.0000000000002</v>
      </c>
      <c r="V119" s="30" t="str">
        <f t="shared" si="13"/>
        <v>P15S2A34</v>
      </c>
      <c r="W119" s="30">
        <v>2223</v>
      </c>
      <c r="X119" s="30">
        <v>15</v>
      </c>
      <c r="Y119" s="30">
        <v>2</v>
      </c>
      <c r="Z119" s="30">
        <v>34</v>
      </c>
      <c r="AA119" s="31">
        <v>10671</v>
      </c>
      <c r="AC119" s="144" t="str">
        <f t="shared" si="8"/>
        <v>P15S1A45</v>
      </c>
      <c r="AD119" s="144"/>
      <c r="AE119" s="144">
        <v>15</v>
      </c>
      <c r="AF119" s="144">
        <v>1</v>
      </c>
      <c r="AG119" s="144">
        <v>45</v>
      </c>
      <c r="AH119" s="143">
        <v>989</v>
      </c>
      <c r="AJ119" s="142" t="str">
        <f t="shared" si="14"/>
        <v>P10S2A53</v>
      </c>
      <c r="AK119" s="142"/>
      <c r="AL119" s="142">
        <v>10</v>
      </c>
      <c r="AM119" s="142">
        <v>2</v>
      </c>
      <c r="AN119" s="142">
        <v>53</v>
      </c>
      <c r="AO119" s="143">
        <v>1536</v>
      </c>
      <c r="AQ119" s="163" t="str">
        <f t="shared" si="15"/>
        <v>P20S1A45</v>
      </c>
      <c r="AR119" s="163"/>
      <c r="AS119" s="165">
        <v>20</v>
      </c>
      <c r="AT119" s="163">
        <v>1</v>
      </c>
      <c r="AU119" s="167">
        <v>45</v>
      </c>
      <c r="AV119" s="164">
        <v>644</v>
      </c>
    </row>
    <row r="120" spans="1:48">
      <c r="A120" s="30" t="str">
        <f t="shared" si="10"/>
        <v>P01S2A32</v>
      </c>
      <c r="B120" s="30"/>
      <c r="C120" s="30">
        <v>1</v>
      </c>
      <c r="D120" s="30">
        <v>2</v>
      </c>
      <c r="E120" s="30">
        <v>32</v>
      </c>
      <c r="F120" s="31">
        <v>2992</v>
      </c>
      <c r="H120" s="30" t="str">
        <f t="shared" si="11"/>
        <v>P15S2A57</v>
      </c>
      <c r="I120" s="30"/>
      <c r="J120" s="30">
        <v>15</v>
      </c>
      <c r="K120" s="30">
        <v>2</v>
      </c>
      <c r="L120" s="30">
        <v>57</v>
      </c>
      <c r="M120" s="31">
        <v>3873</v>
      </c>
      <c r="O120" s="30" t="str">
        <f t="shared" si="12"/>
        <v>P20S2A40</v>
      </c>
      <c r="P120" s="30">
        <v>2943</v>
      </c>
      <c r="Q120" s="30">
        <v>20</v>
      </c>
      <c r="R120" s="30">
        <v>2</v>
      </c>
      <c r="S120" s="30">
        <v>40</v>
      </c>
      <c r="T120" s="31">
        <v>1679</v>
      </c>
      <c r="V120" s="30" t="str">
        <f t="shared" si="13"/>
        <v>P15S2A35</v>
      </c>
      <c r="W120" s="30">
        <v>2223</v>
      </c>
      <c r="X120" s="30">
        <v>15</v>
      </c>
      <c r="Y120" s="30">
        <v>2</v>
      </c>
      <c r="Z120" s="30">
        <v>35</v>
      </c>
      <c r="AA120" s="31">
        <v>10665</v>
      </c>
      <c r="AC120" s="144" t="str">
        <f t="shared" si="8"/>
        <v>P15S1A46</v>
      </c>
      <c r="AD120" s="144"/>
      <c r="AE120" s="144">
        <v>15</v>
      </c>
      <c r="AF120" s="144">
        <v>1</v>
      </c>
      <c r="AG120" s="144">
        <v>46</v>
      </c>
      <c r="AH120" s="143">
        <v>992</v>
      </c>
      <c r="AJ120" s="142" t="str">
        <f t="shared" si="14"/>
        <v>P10S2A54</v>
      </c>
      <c r="AK120" s="142"/>
      <c r="AL120" s="142">
        <v>10</v>
      </c>
      <c r="AM120" s="142">
        <v>2</v>
      </c>
      <c r="AN120" s="142">
        <v>54</v>
      </c>
      <c r="AO120" s="143">
        <v>1537</v>
      </c>
      <c r="AQ120" s="163" t="str">
        <f t="shared" si="15"/>
        <v>P20S1A46</v>
      </c>
      <c r="AR120" s="163"/>
      <c r="AS120" s="165">
        <v>20</v>
      </c>
      <c r="AT120" s="163">
        <v>1</v>
      </c>
      <c r="AU120" s="167">
        <v>46</v>
      </c>
      <c r="AV120" s="164">
        <v>673</v>
      </c>
    </row>
    <row r="121" spans="1:48">
      <c r="A121" s="30" t="str">
        <f t="shared" si="10"/>
        <v>P01S2A33</v>
      </c>
      <c r="B121" s="30"/>
      <c r="C121" s="30">
        <v>1</v>
      </c>
      <c r="D121" s="30">
        <v>2</v>
      </c>
      <c r="E121" s="30">
        <v>33</v>
      </c>
      <c r="F121" s="31">
        <v>3064</v>
      </c>
      <c r="H121" s="30" t="str">
        <f t="shared" si="11"/>
        <v>P15S2A58</v>
      </c>
      <c r="I121" s="30"/>
      <c r="J121" s="30">
        <v>15</v>
      </c>
      <c r="K121" s="30">
        <v>2</v>
      </c>
      <c r="L121" s="30">
        <v>58</v>
      </c>
      <c r="M121" s="31">
        <v>4057</v>
      </c>
      <c r="O121" s="30" t="str">
        <f t="shared" si="12"/>
        <v>P20S2A41</v>
      </c>
      <c r="P121" s="30">
        <v>2943</v>
      </c>
      <c r="Q121" s="30">
        <v>20</v>
      </c>
      <c r="R121" s="30">
        <v>2</v>
      </c>
      <c r="S121" s="30">
        <v>41</v>
      </c>
      <c r="T121" s="31">
        <v>1598</v>
      </c>
      <c r="V121" s="30" t="str">
        <f t="shared" si="13"/>
        <v>P15S2A36</v>
      </c>
      <c r="W121" s="30">
        <v>2223</v>
      </c>
      <c r="X121" s="30">
        <v>15</v>
      </c>
      <c r="Y121" s="30">
        <v>2</v>
      </c>
      <c r="Z121" s="30">
        <v>36</v>
      </c>
      <c r="AA121" s="31">
        <v>10653.999999999998</v>
      </c>
      <c r="AC121" s="144" t="str">
        <f t="shared" si="8"/>
        <v>P15S1A47</v>
      </c>
      <c r="AD121" s="144"/>
      <c r="AE121" s="144">
        <v>15</v>
      </c>
      <c r="AF121" s="144">
        <v>1</v>
      </c>
      <c r="AG121" s="144">
        <v>47</v>
      </c>
      <c r="AH121" s="143">
        <v>995</v>
      </c>
      <c r="AJ121" s="142" t="str">
        <f t="shared" si="14"/>
        <v>P10S2A55</v>
      </c>
      <c r="AK121" s="142"/>
      <c r="AL121" s="142">
        <v>10</v>
      </c>
      <c r="AM121" s="142">
        <v>2</v>
      </c>
      <c r="AN121" s="142">
        <v>55</v>
      </c>
      <c r="AO121" s="143">
        <v>1541</v>
      </c>
      <c r="AQ121" s="163" t="str">
        <f t="shared" si="15"/>
        <v>P20S1A47</v>
      </c>
      <c r="AR121" s="163"/>
      <c r="AS121" s="165">
        <v>20</v>
      </c>
      <c r="AT121" s="163">
        <v>1</v>
      </c>
      <c r="AU121" s="167">
        <v>47</v>
      </c>
      <c r="AV121" s="164">
        <v>703</v>
      </c>
    </row>
    <row r="122" spans="1:48">
      <c r="A122" s="30" t="str">
        <f t="shared" si="10"/>
        <v>P01S2A34</v>
      </c>
      <c r="B122" s="30"/>
      <c r="C122" s="30">
        <v>1</v>
      </c>
      <c r="D122" s="30">
        <v>2</v>
      </c>
      <c r="E122" s="30">
        <v>34</v>
      </c>
      <c r="F122" s="31">
        <v>3137</v>
      </c>
      <c r="H122" s="30" t="str">
        <f t="shared" si="11"/>
        <v>P15S2A59</v>
      </c>
      <c r="I122" s="30"/>
      <c r="J122" s="30">
        <v>15</v>
      </c>
      <c r="K122" s="30">
        <v>2</v>
      </c>
      <c r="L122" s="30">
        <v>59</v>
      </c>
      <c r="M122" s="31">
        <v>4262</v>
      </c>
      <c r="O122" s="30" t="str">
        <f t="shared" si="12"/>
        <v>P20S2A42</v>
      </c>
      <c r="P122" s="30">
        <v>2943</v>
      </c>
      <c r="Q122" s="30">
        <v>20</v>
      </c>
      <c r="R122" s="30">
        <v>2</v>
      </c>
      <c r="S122" s="30">
        <v>42</v>
      </c>
      <c r="T122" s="31">
        <v>1516.0000000000002</v>
      </c>
      <c r="V122" s="30" t="str">
        <f t="shared" si="13"/>
        <v>P15S2A37</v>
      </c>
      <c r="W122" s="30">
        <v>2223</v>
      </c>
      <c r="X122" s="30">
        <v>15</v>
      </c>
      <c r="Y122" s="30">
        <v>2</v>
      </c>
      <c r="Z122" s="30">
        <v>37</v>
      </c>
      <c r="AA122" s="31">
        <v>10639</v>
      </c>
      <c r="AC122" s="144" t="str">
        <f t="shared" si="8"/>
        <v>P15S1A48</v>
      </c>
      <c r="AD122" s="144"/>
      <c r="AE122" s="144">
        <v>15</v>
      </c>
      <c r="AF122" s="144">
        <v>1</v>
      </c>
      <c r="AG122" s="144">
        <v>48</v>
      </c>
      <c r="AH122" s="143">
        <v>998</v>
      </c>
      <c r="AJ122" s="142" t="str">
        <f t="shared" si="14"/>
        <v>P10S2A56</v>
      </c>
      <c r="AK122" s="142"/>
      <c r="AL122" s="142">
        <v>10</v>
      </c>
      <c r="AM122" s="142">
        <v>2</v>
      </c>
      <c r="AN122" s="142">
        <v>56</v>
      </c>
      <c r="AO122" s="143">
        <v>1543</v>
      </c>
      <c r="AQ122" s="163" t="str">
        <f t="shared" si="15"/>
        <v>P20S1A48</v>
      </c>
      <c r="AR122" s="163"/>
      <c r="AS122" s="165">
        <v>20</v>
      </c>
      <c r="AT122" s="163">
        <v>1</v>
      </c>
      <c r="AU122" s="167">
        <v>48</v>
      </c>
      <c r="AV122" s="164">
        <v>734</v>
      </c>
    </row>
    <row r="123" spans="1:48">
      <c r="A123" s="30" t="str">
        <f t="shared" si="10"/>
        <v>P01S2A35</v>
      </c>
      <c r="B123" s="30"/>
      <c r="C123" s="30">
        <v>1</v>
      </c>
      <c r="D123" s="30">
        <v>2</v>
      </c>
      <c r="E123" s="30">
        <v>35</v>
      </c>
      <c r="F123" s="31">
        <v>3563</v>
      </c>
      <c r="H123" s="30" t="str">
        <f t="shared" si="11"/>
        <v>P15S2A60</v>
      </c>
      <c r="I123" s="30"/>
      <c r="J123" s="30">
        <v>15</v>
      </c>
      <c r="K123" s="30">
        <v>2</v>
      </c>
      <c r="L123" s="30">
        <v>60</v>
      </c>
      <c r="M123" s="31">
        <v>4500</v>
      </c>
      <c r="O123" s="30" t="str">
        <f t="shared" si="12"/>
        <v>P20S2A43</v>
      </c>
      <c r="P123" s="30">
        <v>2943</v>
      </c>
      <c r="Q123" s="30">
        <v>20</v>
      </c>
      <c r="R123" s="30">
        <v>2</v>
      </c>
      <c r="S123" s="30">
        <v>43</v>
      </c>
      <c r="T123" s="31">
        <v>1432</v>
      </c>
      <c r="V123" s="30" t="str">
        <f t="shared" si="13"/>
        <v>P15S2A38</v>
      </c>
      <c r="W123" s="30">
        <v>2223</v>
      </c>
      <c r="X123" s="30">
        <v>15</v>
      </c>
      <c r="Y123" s="30">
        <v>2</v>
      </c>
      <c r="Z123" s="30">
        <v>38</v>
      </c>
      <c r="AA123" s="31">
        <v>10620</v>
      </c>
      <c r="AC123" s="144" t="str">
        <f t="shared" si="8"/>
        <v>P15S1A49</v>
      </c>
      <c r="AD123" s="144"/>
      <c r="AE123" s="144">
        <v>15</v>
      </c>
      <c r="AF123" s="144">
        <v>1</v>
      </c>
      <c r="AG123" s="144">
        <v>49</v>
      </c>
      <c r="AH123" s="143">
        <v>999</v>
      </c>
      <c r="AJ123" s="142" t="str">
        <f t="shared" si="14"/>
        <v>P10S2A57</v>
      </c>
      <c r="AK123" s="142"/>
      <c r="AL123" s="142">
        <v>10</v>
      </c>
      <c r="AM123" s="142">
        <v>2</v>
      </c>
      <c r="AN123" s="142">
        <v>57</v>
      </c>
      <c r="AO123" s="143">
        <v>1546</v>
      </c>
      <c r="AQ123" s="163" t="str">
        <f t="shared" si="15"/>
        <v>P20S1A49</v>
      </c>
      <c r="AR123" s="163"/>
      <c r="AS123" s="165">
        <v>20</v>
      </c>
      <c r="AT123" s="163">
        <v>1</v>
      </c>
      <c r="AU123" s="167">
        <v>49</v>
      </c>
      <c r="AV123" s="164">
        <v>767</v>
      </c>
    </row>
    <row r="124" spans="1:48">
      <c r="A124" s="30" t="str">
        <f t="shared" si="10"/>
        <v>P01S2A36</v>
      </c>
      <c r="B124" s="30"/>
      <c r="C124" s="30">
        <v>1</v>
      </c>
      <c r="D124" s="30">
        <v>2</v>
      </c>
      <c r="E124" s="30">
        <v>36</v>
      </c>
      <c r="F124" s="31">
        <v>3633</v>
      </c>
      <c r="H124" s="30" t="str">
        <f t="shared" si="11"/>
        <v>P20S1A00</v>
      </c>
      <c r="I124" s="30"/>
      <c r="J124" s="30">
        <v>20</v>
      </c>
      <c r="K124" s="30">
        <v>1</v>
      </c>
      <c r="L124" s="30">
        <v>0</v>
      </c>
      <c r="M124" s="31">
        <v>1425</v>
      </c>
      <c r="O124" s="30" t="str">
        <f t="shared" si="12"/>
        <v>P20S2A44</v>
      </c>
      <c r="P124" s="30">
        <v>2943</v>
      </c>
      <c r="Q124" s="30">
        <v>20</v>
      </c>
      <c r="R124" s="30">
        <v>2</v>
      </c>
      <c r="S124" s="30">
        <v>44</v>
      </c>
      <c r="T124" s="31">
        <v>1349</v>
      </c>
      <c r="V124" s="30" t="str">
        <f t="shared" si="13"/>
        <v>P15S2A39</v>
      </c>
      <c r="W124" s="30">
        <v>2223</v>
      </c>
      <c r="X124" s="30">
        <v>15</v>
      </c>
      <c r="Y124" s="30">
        <v>2</v>
      </c>
      <c r="Z124" s="30">
        <v>39</v>
      </c>
      <c r="AA124" s="31">
        <v>10599</v>
      </c>
      <c r="AC124" s="144" t="str">
        <f t="shared" si="8"/>
        <v>P15S1A50</v>
      </c>
      <c r="AD124" s="144"/>
      <c r="AE124" s="144">
        <v>15</v>
      </c>
      <c r="AF124" s="144">
        <v>1</v>
      </c>
      <c r="AG124" s="144">
        <v>50</v>
      </c>
      <c r="AH124" s="143">
        <v>1002</v>
      </c>
      <c r="AJ124" s="142" t="str">
        <f t="shared" si="14"/>
        <v>P10S2A58</v>
      </c>
      <c r="AK124" s="142"/>
      <c r="AL124" s="142">
        <v>10</v>
      </c>
      <c r="AM124" s="142">
        <v>2</v>
      </c>
      <c r="AN124" s="142">
        <v>58</v>
      </c>
      <c r="AO124" s="143">
        <v>1546</v>
      </c>
      <c r="AQ124" s="163" t="str">
        <f t="shared" si="15"/>
        <v>P20S1A50</v>
      </c>
      <c r="AR124" s="163"/>
      <c r="AS124" s="165">
        <v>20</v>
      </c>
      <c r="AT124" s="163">
        <v>1</v>
      </c>
      <c r="AU124" s="167">
        <v>50</v>
      </c>
      <c r="AV124" s="164">
        <v>802</v>
      </c>
    </row>
    <row r="125" spans="1:48">
      <c r="A125" s="30" t="str">
        <f t="shared" si="10"/>
        <v>P01S2A37</v>
      </c>
      <c r="B125" s="30"/>
      <c r="C125" s="30">
        <v>1</v>
      </c>
      <c r="D125" s="30">
        <v>2</v>
      </c>
      <c r="E125" s="30">
        <v>37</v>
      </c>
      <c r="F125" s="31">
        <v>3704</v>
      </c>
      <c r="H125" s="30" t="str">
        <f t="shared" si="11"/>
        <v>P20S1A01</v>
      </c>
      <c r="I125" s="30"/>
      <c r="J125" s="30">
        <v>20</v>
      </c>
      <c r="K125" s="30">
        <v>1</v>
      </c>
      <c r="L125" s="30">
        <v>1</v>
      </c>
      <c r="M125" s="31">
        <v>1425</v>
      </c>
      <c r="O125" s="30" t="str">
        <f t="shared" si="12"/>
        <v>P20S2A45</v>
      </c>
      <c r="P125" s="30">
        <v>2943</v>
      </c>
      <c r="Q125" s="30">
        <v>20</v>
      </c>
      <c r="R125" s="30">
        <v>2</v>
      </c>
      <c r="S125" s="30">
        <v>45</v>
      </c>
      <c r="T125" s="31">
        <v>1265</v>
      </c>
      <c r="V125" s="30" t="str">
        <f t="shared" si="13"/>
        <v>P15S2A40</v>
      </c>
      <c r="W125" s="30">
        <v>2223</v>
      </c>
      <c r="X125" s="30">
        <v>15</v>
      </c>
      <c r="Y125" s="30">
        <v>2</v>
      </c>
      <c r="Z125" s="30">
        <v>40</v>
      </c>
      <c r="AA125" s="31">
        <v>10575.000000000002</v>
      </c>
      <c r="AC125" s="144" t="str">
        <f t="shared" si="8"/>
        <v>P15S1A51</v>
      </c>
      <c r="AD125" s="144"/>
      <c r="AE125" s="144">
        <v>15</v>
      </c>
      <c r="AF125" s="144">
        <v>1</v>
      </c>
      <c r="AG125" s="144">
        <v>51</v>
      </c>
      <c r="AH125" s="143">
        <v>1005</v>
      </c>
      <c r="AJ125" s="142" t="str">
        <f t="shared" si="14"/>
        <v>P10S2A59</v>
      </c>
      <c r="AK125" s="142"/>
      <c r="AL125" s="142">
        <v>10</v>
      </c>
      <c r="AM125" s="142">
        <v>2</v>
      </c>
      <c r="AN125" s="142">
        <v>59</v>
      </c>
      <c r="AO125" s="143">
        <v>1547</v>
      </c>
      <c r="AQ125" s="163" t="str">
        <f t="shared" si="15"/>
        <v>P20S1A51</v>
      </c>
      <c r="AR125" s="163"/>
      <c r="AS125" s="165">
        <v>20</v>
      </c>
      <c r="AT125" s="163">
        <v>1</v>
      </c>
      <c r="AU125" s="167">
        <v>51</v>
      </c>
      <c r="AV125" s="164">
        <v>839</v>
      </c>
    </row>
    <row r="126" spans="1:48">
      <c r="A126" s="30" t="str">
        <f t="shared" si="10"/>
        <v>P01S2A38</v>
      </c>
      <c r="B126" s="30"/>
      <c r="C126" s="30">
        <v>1</v>
      </c>
      <c r="D126" s="30">
        <v>2</v>
      </c>
      <c r="E126" s="30">
        <v>38</v>
      </c>
      <c r="F126" s="31">
        <v>3869</v>
      </c>
      <c r="H126" s="30" t="str">
        <f t="shared" si="11"/>
        <v>P20S1A02</v>
      </c>
      <c r="I126" s="30"/>
      <c r="J126" s="30">
        <v>20</v>
      </c>
      <c r="K126" s="30">
        <v>1</v>
      </c>
      <c r="L126" s="30">
        <v>2</v>
      </c>
      <c r="M126" s="31">
        <v>1425</v>
      </c>
      <c r="O126" s="30" t="str">
        <f t="shared" si="12"/>
        <v>P00SA00</v>
      </c>
      <c r="P126" s="30"/>
      <c r="Q126" s="30"/>
      <c r="R126" s="30"/>
      <c r="S126" s="30"/>
      <c r="T126" s="31"/>
      <c r="V126" s="30" t="str">
        <f t="shared" si="13"/>
        <v>P15S2A41</v>
      </c>
      <c r="W126" s="30">
        <v>2223</v>
      </c>
      <c r="X126" s="30">
        <v>15</v>
      </c>
      <c r="Y126" s="30">
        <v>2</v>
      </c>
      <c r="Z126" s="30">
        <v>41</v>
      </c>
      <c r="AA126" s="31">
        <v>10548</v>
      </c>
      <c r="AC126" s="144" t="str">
        <f t="shared" si="8"/>
        <v>P15S1A52</v>
      </c>
      <c r="AD126" s="144"/>
      <c r="AE126" s="144">
        <v>15</v>
      </c>
      <c r="AF126" s="144">
        <v>1</v>
      </c>
      <c r="AG126" s="144">
        <v>52</v>
      </c>
      <c r="AH126" s="143">
        <v>1008</v>
      </c>
      <c r="AJ126" s="142" t="str">
        <f t="shared" si="14"/>
        <v>P10S2A60</v>
      </c>
      <c r="AK126" s="142"/>
      <c r="AL126" s="142">
        <v>10</v>
      </c>
      <c r="AM126" s="142">
        <v>2</v>
      </c>
      <c r="AN126" s="142">
        <v>60</v>
      </c>
      <c r="AO126" s="143">
        <v>1549</v>
      </c>
      <c r="AQ126" s="163" t="str">
        <f t="shared" si="15"/>
        <v>P20S1A52</v>
      </c>
      <c r="AR126" s="163"/>
      <c r="AS126" s="165">
        <v>20</v>
      </c>
      <c r="AT126" s="163">
        <v>1</v>
      </c>
      <c r="AU126" s="167">
        <v>52</v>
      </c>
      <c r="AV126" s="164">
        <v>878</v>
      </c>
    </row>
    <row r="127" spans="1:48">
      <c r="A127" s="30" t="str">
        <f t="shared" si="10"/>
        <v>P01S2A39</v>
      </c>
      <c r="B127" s="30"/>
      <c r="C127" s="30">
        <v>1</v>
      </c>
      <c r="D127" s="30">
        <v>2</v>
      </c>
      <c r="E127" s="30">
        <v>39</v>
      </c>
      <c r="F127" s="31">
        <v>4035</v>
      </c>
      <c r="H127" s="30" t="str">
        <f t="shared" si="11"/>
        <v>P20S1A03</v>
      </c>
      <c r="I127" s="30"/>
      <c r="J127" s="30">
        <v>20</v>
      </c>
      <c r="K127" s="30">
        <v>1</v>
      </c>
      <c r="L127" s="30">
        <v>3</v>
      </c>
      <c r="M127" s="31">
        <v>1425</v>
      </c>
      <c r="O127" s="30" t="str">
        <f t="shared" si="12"/>
        <v>P00SA00</v>
      </c>
      <c r="P127" s="30"/>
      <c r="Q127" s="30"/>
      <c r="R127" s="30"/>
      <c r="S127" s="30"/>
      <c r="T127" s="31"/>
      <c r="V127" s="30" t="str">
        <f t="shared" si="13"/>
        <v>P15S2A42</v>
      </c>
      <c r="W127" s="30">
        <v>2223</v>
      </c>
      <c r="X127" s="30">
        <v>15</v>
      </c>
      <c r="Y127" s="30">
        <v>2</v>
      </c>
      <c r="Z127" s="30">
        <v>42</v>
      </c>
      <c r="AA127" s="31">
        <v>10519</v>
      </c>
      <c r="AC127" s="144" t="str">
        <f t="shared" si="8"/>
        <v>P15S1A53</v>
      </c>
      <c r="AD127" s="144"/>
      <c r="AE127" s="144">
        <v>15</v>
      </c>
      <c r="AF127" s="144">
        <v>1</v>
      </c>
      <c r="AG127" s="144">
        <v>53</v>
      </c>
      <c r="AH127" s="143">
        <v>1010</v>
      </c>
      <c r="AJ127" s="142" t="str">
        <f t="shared" si="14"/>
        <v>P10S2A61</v>
      </c>
      <c r="AK127" s="142"/>
      <c r="AL127" s="142">
        <v>10</v>
      </c>
      <c r="AM127" s="142">
        <v>2</v>
      </c>
      <c r="AN127" s="142">
        <v>61</v>
      </c>
      <c r="AO127" s="143">
        <v>1550</v>
      </c>
      <c r="AQ127" s="163" t="str">
        <f t="shared" si="15"/>
        <v>P20S1A53</v>
      </c>
      <c r="AR127" s="163"/>
      <c r="AS127" s="165">
        <v>20</v>
      </c>
      <c r="AT127" s="163">
        <v>1</v>
      </c>
      <c r="AU127" s="167">
        <v>53</v>
      </c>
      <c r="AV127" s="164">
        <v>920</v>
      </c>
    </row>
    <row r="128" spans="1:48">
      <c r="A128" s="30" t="str">
        <f t="shared" si="10"/>
        <v>P01S2A40</v>
      </c>
      <c r="B128" s="30"/>
      <c r="C128" s="30">
        <v>1</v>
      </c>
      <c r="D128" s="30">
        <v>2</v>
      </c>
      <c r="E128" s="30">
        <v>40</v>
      </c>
      <c r="F128" s="31">
        <v>4618</v>
      </c>
      <c r="H128" s="30" t="str">
        <f t="shared" si="11"/>
        <v>P20S1A04</v>
      </c>
      <c r="I128" s="30"/>
      <c r="J128" s="30">
        <v>20</v>
      </c>
      <c r="K128" s="30">
        <v>1</v>
      </c>
      <c r="L128" s="30">
        <v>4</v>
      </c>
      <c r="M128" s="31">
        <v>1425</v>
      </c>
      <c r="O128" s="30" t="str">
        <f t="shared" si="12"/>
        <v>P00SA00</v>
      </c>
      <c r="P128" s="30"/>
      <c r="Q128" s="30"/>
      <c r="R128" s="30"/>
      <c r="S128" s="30"/>
      <c r="T128" s="31"/>
      <c r="V128" s="30" t="str">
        <f t="shared" si="13"/>
        <v>P15S2A43</v>
      </c>
      <c r="W128" s="30">
        <v>2223</v>
      </c>
      <c r="X128" s="30">
        <v>15</v>
      </c>
      <c r="Y128" s="30">
        <v>2</v>
      </c>
      <c r="Z128" s="30">
        <v>43</v>
      </c>
      <c r="AA128" s="31">
        <v>10489</v>
      </c>
      <c r="AC128" s="144" t="str">
        <f t="shared" si="8"/>
        <v>P15S1A54</v>
      </c>
      <c r="AD128" s="144"/>
      <c r="AE128" s="144">
        <v>15</v>
      </c>
      <c r="AF128" s="144">
        <v>1</v>
      </c>
      <c r="AG128" s="144">
        <v>54</v>
      </c>
      <c r="AH128" s="143">
        <v>1013</v>
      </c>
      <c r="AJ128" s="142" t="str">
        <f t="shared" si="14"/>
        <v>P10S2A62</v>
      </c>
      <c r="AK128" s="142"/>
      <c r="AL128" s="142">
        <v>10</v>
      </c>
      <c r="AM128" s="142">
        <v>2</v>
      </c>
      <c r="AN128" s="142">
        <v>62</v>
      </c>
      <c r="AO128" s="143">
        <v>1551</v>
      </c>
      <c r="AQ128" s="163" t="str">
        <f t="shared" si="15"/>
        <v>P20S1A54</v>
      </c>
      <c r="AR128" s="163"/>
      <c r="AS128" s="165">
        <v>20</v>
      </c>
      <c r="AT128" s="163">
        <v>1</v>
      </c>
      <c r="AU128" s="167">
        <v>54</v>
      </c>
      <c r="AV128" s="164">
        <v>964</v>
      </c>
    </row>
    <row r="129" spans="1:48">
      <c r="A129" s="30" t="str">
        <f t="shared" si="10"/>
        <v>P01S2A41</v>
      </c>
      <c r="B129" s="30"/>
      <c r="C129" s="30">
        <v>1</v>
      </c>
      <c r="D129" s="30">
        <v>2</v>
      </c>
      <c r="E129" s="30">
        <v>41</v>
      </c>
      <c r="F129" s="31">
        <v>4788</v>
      </c>
      <c r="H129" s="30" t="str">
        <f t="shared" si="11"/>
        <v>P20S1A05</v>
      </c>
      <c r="I129" s="30"/>
      <c r="J129" s="30">
        <v>20</v>
      </c>
      <c r="K129" s="30">
        <v>1</v>
      </c>
      <c r="L129" s="30">
        <v>5</v>
      </c>
      <c r="M129" s="31">
        <v>1425</v>
      </c>
      <c r="O129" s="30" t="str">
        <f t="shared" si="12"/>
        <v>P00SA00</v>
      </c>
      <c r="P129" s="30"/>
      <c r="Q129" s="30"/>
      <c r="R129" s="30"/>
      <c r="S129" s="30"/>
      <c r="T129" s="31"/>
      <c r="V129" s="30" t="str">
        <f t="shared" si="13"/>
        <v>P15S2A44</v>
      </c>
      <c r="W129" s="30">
        <v>2223</v>
      </c>
      <c r="X129" s="30">
        <v>15</v>
      </c>
      <c r="Y129" s="30">
        <v>2</v>
      </c>
      <c r="Z129" s="30">
        <v>44</v>
      </c>
      <c r="AA129" s="31">
        <v>10458</v>
      </c>
      <c r="AC129" s="144" t="str">
        <f t="shared" si="8"/>
        <v>P15S1A55</v>
      </c>
      <c r="AD129" s="144"/>
      <c r="AE129" s="144">
        <v>15</v>
      </c>
      <c r="AF129" s="144">
        <v>1</v>
      </c>
      <c r="AG129" s="144">
        <v>55</v>
      </c>
      <c r="AH129" s="143">
        <v>1015</v>
      </c>
      <c r="AJ129" s="142" t="str">
        <f t="shared" si="14"/>
        <v>P10S2A63</v>
      </c>
      <c r="AK129" s="142"/>
      <c r="AL129" s="142">
        <v>10</v>
      </c>
      <c r="AM129" s="142">
        <v>2</v>
      </c>
      <c r="AN129" s="142">
        <v>63</v>
      </c>
      <c r="AO129" s="143">
        <v>1552</v>
      </c>
      <c r="AQ129" s="163" t="str">
        <f t="shared" si="15"/>
        <v>P20S1A55</v>
      </c>
      <c r="AR129" s="163"/>
      <c r="AS129" s="165">
        <v>20</v>
      </c>
      <c r="AT129" s="163">
        <v>1</v>
      </c>
      <c r="AU129" s="167">
        <v>55</v>
      </c>
      <c r="AV129" s="164">
        <v>1012</v>
      </c>
    </row>
    <row r="130" spans="1:48">
      <c r="A130" s="30" t="str">
        <f t="shared" si="10"/>
        <v>P01S2A42</v>
      </c>
      <c r="B130" s="30"/>
      <c r="C130" s="30">
        <v>1</v>
      </c>
      <c r="D130" s="30">
        <v>2</v>
      </c>
      <c r="E130" s="30">
        <v>42</v>
      </c>
      <c r="F130" s="31">
        <v>4957</v>
      </c>
      <c r="H130" s="30" t="str">
        <f t="shared" si="11"/>
        <v>P20S1A06</v>
      </c>
      <c r="I130" s="30"/>
      <c r="J130" s="30">
        <v>20</v>
      </c>
      <c r="K130" s="30">
        <v>1</v>
      </c>
      <c r="L130" s="30">
        <v>6</v>
      </c>
      <c r="M130" s="31">
        <v>1426</v>
      </c>
      <c r="O130" s="30" t="str">
        <f t="shared" si="12"/>
        <v>P00SA00</v>
      </c>
      <c r="P130" s="30"/>
      <c r="Q130" s="30"/>
      <c r="R130" s="30"/>
      <c r="S130" s="30"/>
      <c r="T130" s="31"/>
      <c r="V130" s="30" t="str">
        <f t="shared" si="13"/>
        <v>P15S2A45</v>
      </c>
      <c r="W130" s="30">
        <v>2223</v>
      </c>
      <c r="X130" s="30">
        <v>15</v>
      </c>
      <c r="Y130" s="30">
        <v>2</v>
      </c>
      <c r="Z130" s="30">
        <v>45</v>
      </c>
      <c r="AA130" s="31">
        <v>10427</v>
      </c>
      <c r="AC130" s="144" t="str">
        <f t="shared" ref="AC130:AC193" si="16">"P"&amp;REPT("0",2-LEN(AE130))&amp;AE130&amp;"S"&amp;AF130&amp;"A"&amp;REPT("0",2-LEN(AG130))&amp;AG130</f>
        <v>P15S1A56</v>
      </c>
      <c r="AD130" s="144"/>
      <c r="AE130" s="144">
        <v>15</v>
      </c>
      <c r="AF130" s="144">
        <v>1</v>
      </c>
      <c r="AG130" s="144">
        <v>56</v>
      </c>
      <c r="AH130" s="143">
        <v>1017</v>
      </c>
      <c r="AJ130" s="142" t="str">
        <f t="shared" si="14"/>
        <v>P10S2A64</v>
      </c>
      <c r="AK130" s="142"/>
      <c r="AL130" s="142">
        <v>10</v>
      </c>
      <c r="AM130" s="142">
        <v>2</v>
      </c>
      <c r="AN130" s="142">
        <v>64</v>
      </c>
      <c r="AO130" s="143">
        <v>1553</v>
      </c>
      <c r="AQ130" s="163" t="str">
        <f t="shared" ref="AQ130:AQ161" si="17">"P"&amp;REPT("0",2-LEN(AS130))&amp;AS130&amp;"S"&amp;AT130&amp;"A"&amp;REPT("0",2-LEN(AU130))&amp;AU130</f>
        <v>P20S1A56</v>
      </c>
      <c r="AR130" s="163"/>
      <c r="AS130" s="165">
        <v>20</v>
      </c>
      <c r="AT130" s="163">
        <v>1</v>
      </c>
      <c r="AU130" s="167">
        <v>56</v>
      </c>
      <c r="AV130" s="164">
        <v>1065</v>
      </c>
    </row>
    <row r="131" spans="1:48">
      <c r="A131" s="30" t="str">
        <f t="shared" ref="A131:A173" si="18">"P"&amp;REPT("0",2-LEN(C131))&amp;C131&amp;"S"&amp;D131&amp;"A"&amp;REPT("0",2-LEN(E131))&amp;E131</f>
        <v>P01S2A43</v>
      </c>
      <c r="B131" s="30"/>
      <c r="C131" s="30">
        <v>1</v>
      </c>
      <c r="D131" s="30">
        <v>2</v>
      </c>
      <c r="E131" s="30">
        <v>43</v>
      </c>
      <c r="F131" s="31">
        <v>5229</v>
      </c>
      <c r="H131" s="30" t="str">
        <f t="shared" ref="H131:H194" si="19">"P"&amp;REPT("0",2-LEN(J131))&amp;J131&amp;"S"&amp;K131&amp;"A"&amp;REPT("0",2-LEN(L131))&amp;L131</f>
        <v>P20S1A07</v>
      </c>
      <c r="I131" s="30"/>
      <c r="J131" s="30">
        <v>20</v>
      </c>
      <c r="K131" s="30">
        <v>1</v>
      </c>
      <c r="L131" s="30">
        <v>7</v>
      </c>
      <c r="M131" s="31">
        <v>1427</v>
      </c>
      <c r="O131" s="30" t="str">
        <f t="shared" ref="O131:O194" si="20">"P"&amp;REPT("0",2-LEN(Q131))&amp;Q131&amp;"S"&amp;R131&amp;"A"&amp;REPT("0",2-LEN(S131))&amp;S131</f>
        <v>P00SA00</v>
      </c>
      <c r="P131" s="30"/>
      <c r="Q131" s="30"/>
      <c r="R131" s="30"/>
      <c r="S131" s="30"/>
      <c r="T131" s="31"/>
      <c r="V131" s="30" t="str">
        <f t="shared" ref="V131:V194" si="21">"P"&amp;REPT("0",2-LEN(X131))&amp;X131&amp;"S"&amp;Y131&amp;"A"&amp;REPT("0",2-LEN(Z131))&amp;Z131</f>
        <v>P15S2A46</v>
      </c>
      <c r="W131" s="30">
        <v>2223</v>
      </c>
      <c r="X131" s="30">
        <v>15</v>
      </c>
      <c r="Y131" s="30">
        <v>2</v>
      </c>
      <c r="Z131" s="30">
        <v>46</v>
      </c>
      <c r="AA131" s="31">
        <v>10394.000000000002</v>
      </c>
      <c r="AC131" s="144" t="str">
        <f t="shared" si="16"/>
        <v>P15S1A57</v>
      </c>
      <c r="AD131" s="144"/>
      <c r="AE131" s="144">
        <v>15</v>
      </c>
      <c r="AF131" s="144">
        <v>1</v>
      </c>
      <c r="AG131" s="144">
        <v>57</v>
      </c>
      <c r="AH131" s="143">
        <v>1020</v>
      </c>
      <c r="AJ131" s="142" t="str">
        <f t="shared" ref="AJ131:AJ194" si="22">"P"&amp;REPT("0",2-LEN(AL131))&amp;AL131&amp;"S"&amp;AM131&amp;"A"&amp;REPT("0",2-LEN(AN131))&amp;AN131</f>
        <v>P10S2A65</v>
      </c>
      <c r="AK131" s="142"/>
      <c r="AL131" s="142">
        <v>10</v>
      </c>
      <c r="AM131" s="142">
        <v>2</v>
      </c>
      <c r="AN131" s="142">
        <v>65</v>
      </c>
      <c r="AO131" s="143">
        <v>1553</v>
      </c>
      <c r="AQ131" s="163" t="str">
        <f t="shared" si="17"/>
        <v>P20S1A57</v>
      </c>
      <c r="AR131" s="163"/>
      <c r="AS131" s="165">
        <v>20</v>
      </c>
      <c r="AT131" s="163">
        <v>1</v>
      </c>
      <c r="AU131" s="167">
        <v>57</v>
      </c>
      <c r="AV131" s="164">
        <v>1121</v>
      </c>
    </row>
    <row r="132" spans="1:48">
      <c r="A132" s="30" t="str">
        <f t="shared" si="18"/>
        <v>P01S2A44</v>
      </c>
      <c r="B132" s="30"/>
      <c r="C132" s="30">
        <v>1</v>
      </c>
      <c r="D132" s="30">
        <v>2</v>
      </c>
      <c r="E132" s="30">
        <v>44</v>
      </c>
      <c r="F132" s="31">
        <v>5500</v>
      </c>
      <c r="H132" s="30" t="str">
        <f t="shared" si="19"/>
        <v>P20S1A08</v>
      </c>
      <c r="I132" s="30"/>
      <c r="J132" s="30">
        <v>20</v>
      </c>
      <c r="K132" s="30">
        <v>1</v>
      </c>
      <c r="L132" s="30">
        <v>8</v>
      </c>
      <c r="M132" s="31">
        <v>1428</v>
      </c>
      <c r="O132" s="30" t="str">
        <f t="shared" si="20"/>
        <v>P00SA00</v>
      </c>
      <c r="P132" s="30"/>
      <c r="Q132" s="30"/>
      <c r="R132" s="30"/>
      <c r="S132" s="30"/>
      <c r="T132" s="31"/>
      <c r="V132" s="30" t="str">
        <f t="shared" si="21"/>
        <v>P15S2A47</v>
      </c>
      <c r="W132" s="30">
        <v>2223</v>
      </c>
      <c r="X132" s="30">
        <v>15</v>
      </c>
      <c r="Y132" s="30">
        <v>2</v>
      </c>
      <c r="Z132" s="30">
        <v>47</v>
      </c>
      <c r="AA132" s="31">
        <v>10362</v>
      </c>
      <c r="AC132" s="144" t="str">
        <f t="shared" si="16"/>
        <v>P15S1A58</v>
      </c>
      <c r="AD132" s="144"/>
      <c r="AE132" s="144">
        <v>15</v>
      </c>
      <c r="AF132" s="144">
        <v>1</v>
      </c>
      <c r="AG132" s="144">
        <v>58</v>
      </c>
      <c r="AH132" s="143">
        <v>1022</v>
      </c>
      <c r="AJ132" s="142" t="str">
        <f t="shared" si="22"/>
        <v>P15S1A01</v>
      </c>
      <c r="AK132" s="142"/>
      <c r="AL132" s="142">
        <v>15</v>
      </c>
      <c r="AM132" s="142">
        <v>1</v>
      </c>
      <c r="AN132" s="142">
        <v>1</v>
      </c>
      <c r="AO132" s="143">
        <v>673</v>
      </c>
      <c r="AQ132" s="163" t="str">
        <f t="shared" si="17"/>
        <v>P20S1A58</v>
      </c>
      <c r="AR132" s="163"/>
      <c r="AS132" s="165">
        <v>20</v>
      </c>
      <c r="AT132" s="163">
        <v>1</v>
      </c>
      <c r="AU132" s="167">
        <v>58</v>
      </c>
      <c r="AV132" s="164">
        <v>1181</v>
      </c>
    </row>
    <row r="133" spans="1:48">
      <c r="A133" s="30" t="str">
        <f t="shared" si="18"/>
        <v>P01S2A45</v>
      </c>
      <c r="B133" s="30"/>
      <c r="C133" s="30">
        <v>1</v>
      </c>
      <c r="D133" s="30">
        <v>2</v>
      </c>
      <c r="E133" s="30">
        <v>45</v>
      </c>
      <c r="F133" s="31">
        <v>5987</v>
      </c>
      <c r="H133" s="30" t="str">
        <f t="shared" si="19"/>
        <v>P20S1A09</v>
      </c>
      <c r="I133" s="30"/>
      <c r="J133" s="30">
        <v>20</v>
      </c>
      <c r="K133" s="30">
        <v>1</v>
      </c>
      <c r="L133" s="30">
        <v>9</v>
      </c>
      <c r="M133" s="31">
        <v>1429</v>
      </c>
      <c r="O133" s="30" t="str">
        <f t="shared" si="20"/>
        <v>P00SA00</v>
      </c>
      <c r="P133" s="30"/>
      <c r="Q133" s="30"/>
      <c r="R133" s="30"/>
      <c r="S133" s="30"/>
      <c r="T133" s="31"/>
      <c r="V133" s="30" t="str">
        <f t="shared" si="21"/>
        <v>P15S2A48</v>
      </c>
      <c r="W133" s="30">
        <v>2223</v>
      </c>
      <c r="X133" s="30">
        <v>15</v>
      </c>
      <c r="Y133" s="30">
        <v>2</v>
      </c>
      <c r="Z133" s="30">
        <v>48</v>
      </c>
      <c r="AA133" s="31">
        <v>10329</v>
      </c>
      <c r="AC133" s="144" t="str">
        <f t="shared" si="16"/>
        <v>P15S1A59</v>
      </c>
      <c r="AD133" s="144"/>
      <c r="AE133" s="144">
        <v>15</v>
      </c>
      <c r="AF133" s="144">
        <v>1</v>
      </c>
      <c r="AG133" s="144">
        <v>59</v>
      </c>
      <c r="AH133" s="143">
        <v>1024</v>
      </c>
      <c r="AJ133" s="142" t="str">
        <f t="shared" si="22"/>
        <v>P15S1A02</v>
      </c>
      <c r="AK133" s="142"/>
      <c r="AL133" s="142">
        <v>15</v>
      </c>
      <c r="AM133" s="142">
        <v>1</v>
      </c>
      <c r="AN133" s="142">
        <v>2</v>
      </c>
      <c r="AO133" s="143">
        <v>680</v>
      </c>
      <c r="AQ133" s="163" t="str">
        <f t="shared" si="17"/>
        <v>P20S1A59</v>
      </c>
      <c r="AR133" s="163"/>
      <c r="AS133" s="165">
        <v>20</v>
      </c>
      <c r="AT133" s="163">
        <v>1</v>
      </c>
      <c r="AU133" s="167">
        <v>59</v>
      </c>
      <c r="AV133" s="164">
        <v>1246</v>
      </c>
    </row>
    <row r="134" spans="1:48">
      <c r="A134" s="30" t="str">
        <f t="shared" si="18"/>
        <v>P01S2A46</v>
      </c>
      <c r="B134" s="30"/>
      <c r="C134" s="30">
        <v>1</v>
      </c>
      <c r="D134" s="30">
        <v>2</v>
      </c>
      <c r="E134" s="30">
        <v>46</v>
      </c>
      <c r="F134" s="31">
        <v>6266</v>
      </c>
      <c r="H134" s="30" t="str">
        <f t="shared" si="19"/>
        <v>P20S1A10</v>
      </c>
      <c r="I134" s="30"/>
      <c r="J134" s="30">
        <v>20</v>
      </c>
      <c r="K134" s="30">
        <v>1</v>
      </c>
      <c r="L134" s="30">
        <v>10</v>
      </c>
      <c r="M134" s="31">
        <v>1430</v>
      </c>
      <c r="O134" s="30" t="str">
        <f t="shared" si="20"/>
        <v>P00SA00</v>
      </c>
      <c r="P134" s="30"/>
      <c r="Q134" s="30"/>
      <c r="R134" s="30"/>
      <c r="S134" s="30"/>
      <c r="T134" s="31"/>
      <c r="V134" s="30" t="str">
        <f t="shared" si="21"/>
        <v>P15S2A49</v>
      </c>
      <c r="W134" s="30">
        <v>2223</v>
      </c>
      <c r="X134" s="30">
        <v>15</v>
      </c>
      <c r="Y134" s="30">
        <v>2</v>
      </c>
      <c r="Z134" s="30">
        <v>49</v>
      </c>
      <c r="AA134" s="31">
        <v>10297</v>
      </c>
      <c r="AC134" s="144" t="str">
        <f t="shared" si="16"/>
        <v>P15S1A60</v>
      </c>
      <c r="AD134" s="144"/>
      <c r="AE134" s="144">
        <v>15</v>
      </c>
      <c r="AF134" s="144">
        <v>1</v>
      </c>
      <c r="AG134" s="144">
        <v>60</v>
      </c>
      <c r="AH134" s="143">
        <v>1027</v>
      </c>
      <c r="AJ134" s="142" t="str">
        <f t="shared" si="22"/>
        <v>P15S1A03</v>
      </c>
      <c r="AK134" s="142"/>
      <c r="AL134" s="142">
        <v>15</v>
      </c>
      <c r="AM134" s="142">
        <v>1</v>
      </c>
      <c r="AN134" s="142">
        <v>3</v>
      </c>
      <c r="AO134" s="143">
        <v>686</v>
      </c>
      <c r="AQ134" s="163" t="str">
        <f t="shared" si="17"/>
        <v>P20S1A60</v>
      </c>
      <c r="AR134" s="163"/>
      <c r="AS134" s="165">
        <v>20</v>
      </c>
      <c r="AT134" s="163">
        <v>1</v>
      </c>
      <c r="AU134" s="167">
        <v>60</v>
      </c>
      <c r="AV134" s="164">
        <v>1318</v>
      </c>
    </row>
    <row r="135" spans="1:48">
      <c r="A135" s="30" t="str">
        <f t="shared" si="18"/>
        <v>P01S2A47</v>
      </c>
      <c r="B135" s="30"/>
      <c r="C135" s="30">
        <v>1</v>
      </c>
      <c r="D135" s="30">
        <v>2</v>
      </c>
      <c r="E135" s="30">
        <v>47</v>
      </c>
      <c r="F135" s="31">
        <v>6544</v>
      </c>
      <c r="H135" s="30" t="str">
        <f t="shared" si="19"/>
        <v>P20S1A11</v>
      </c>
      <c r="I135" s="30"/>
      <c r="J135" s="30">
        <v>20</v>
      </c>
      <c r="K135" s="30">
        <v>1</v>
      </c>
      <c r="L135" s="30">
        <v>11</v>
      </c>
      <c r="M135" s="31">
        <v>1450</v>
      </c>
      <c r="O135" s="30" t="str">
        <f t="shared" si="20"/>
        <v>P00SA00</v>
      </c>
      <c r="P135" s="30"/>
      <c r="Q135" s="30"/>
      <c r="R135" s="30"/>
      <c r="S135" s="30"/>
      <c r="T135" s="31"/>
      <c r="V135" s="30" t="str">
        <f t="shared" si="21"/>
        <v>P15S2A50</v>
      </c>
      <c r="W135" s="30">
        <v>2223</v>
      </c>
      <c r="X135" s="30">
        <v>15</v>
      </c>
      <c r="Y135" s="30">
        <v>2</v>
      </c>
      <c r="Z135" s="30">
        <v>50</v>
      </c>
      <c r="AA135" s="31">
        <v>10266</v>
      </c>
      <c r="AC135" s="144" t="str">
        <f t="shared" si="16"/>
        <v>P15S1A61</v>
      </c>
      <c r="AD135" s="144"/>
      <c r="AE135" s="144">
        <v>15</v>
      </c>
      <c r="AF135" s="144">
        <v>1</v>
      </c>
      <c r="AG135" s="144">
        <v>61</v>
      </c>
      <c r="AH135" s="143">
        <v>1028</v>
      </c>
      <c r="AJ135" s="142" t="str">
        <f t="shared" si="22"/>
        <v>P15S1A04</v>
      </c>
      <c r="AK135" s="142"/>
      <c r="AL135" s="142">
        <v>15</v>
      </c>
      <c r="AM135" s="142">
        <v>1</v>
      </c>
      <c r="AN135" s="142">
        <v>4</v>
      </c>
      <c r="AO135" s="143">
        <v>693</v>
      </c>
      <c r="AQ135" s="163" t="str">
        <f t="shared" si="17"/>
        <v>P20S1A61</v>
      </c>
      <c r="AR135" s="163"/>
      <c r="AS135" s="165">
        <v>20</v>
      </c>
      <c r="AT135" s="163">
        <v>1</v>
      </c>
      <c r="AU135" s="167">
        <v>61</v>
      </c>
      <c r="AV135" s="164">
        <v>1404</v>
      </c>
    </row>
    <row r="136" spans="1:48">
      <c r="A136" s="30" t="str">
        <f t="shared" si="18"/>
        <v>P01S2A48</v>
      </c>
      <c r="B136" s="30"/>
      <c r="C136" s="30">
        <v>1</v>
      </c>
      <c r="D136" s="30">
        <v>2</v>
      </c>
      <c r="E136" s="30">
        <v>48</v>
      </c>
      <c r="F136" s="31">
        <v>6758</v>
      </c>
      <c r="H136" s="30" t="str">
        <f t="shared" si="19"/>
        <v>P20S1A12</v>
      </c>
      <c r="I136" s="30"/>
      <c r="J136" s="30">
        <v>20</v>
      </c>
      <c r="K136" s="30">
        <v>1</v>
      </c>
      <c r="L136" s="30">
        <v>12</v>
      </c>
      <c r="M136" s="31">
        <v>1470</v>
      </c>
      <c r="O136" s="30" t="str">
        <f t="shared" si="20"/>
        <v>P00SA00</v>
      </c>
      <c r="P136" s="30"/>
      <c r="Q136" s="30"/>
      <c r="R136" s="30"/>
      <c r="S136" s="30"/>
      <c r="T136" s="31"/>
      <c r="V136" s="30" t="str">
        <f t="shared" si="21"/>
        <v>P20S1A20</v>
      </c>
      <c r="W136" s="30">
        <v>2223</v>
      </c>
      <c r="X136" s="30">
        <v>20</v>
      </c>
      <c r="Y136" s="30">
        <v>1</v>
      </c>
      <c r="Z136" s="30">
        <v>20</v>
      </c>
      <c r="AA136" s="31">
        <v>11838</v>
      </c>
      <c r="AC136" s="144" t="str">
        <f t="shared" si="16"/>
        <v>P15S1A62</v>
      </c>
      <c r="AD136" s="144"/>
      <c r="AE136" s="144">
        <v>15</v>
      </c>
      <c r="AF136" s="144">
        <v>1</v>
      </c>
      <c r="AG136" s="144">
        <v>62</v>
      </c>
      <c r="AH136" s="143">
        <v>1031</v>
      </c>
      <c r="AJ136" s="142" t="str">
        <f t="shared" si="22"/>
        <v>P15S1A05</v>
      </c>
      <c r="AK136" s="142"/>
      <c r="AL136" s="142">
        <v>15</v>
      </c>
      <c r="AM136" s="142">
        <v>1</v>
      </c>
      <c r="AN136" s="142">
        <v>5</v>
      </c>
      <c r="AO136" s="143">
        <v>699</v>
      </c>
      <c r="AQ136" s="163" t="str">
        <f t="shared" si="17"/>
        <v>P20S1A62</v>
      </c>
      <c r="AR136" s="163"/>
      <c r="AS136" s="165">
        <v>20</v>
      </c>
      <c r="AT136" s="163">
        <v>1</v>
      </c>
      <c r="AU136" s="167">
        <v>62</v>
      </c>
      <c r="AV136" s="164">
        <v>1496</v>
      </c>
    </row>
    <row r="137" spans="1:48">
      <c r="A137" s="30" t="str">
        <f t="shared" si="18"/>
        <v>P01S2A49</v>
      </c>
      <c r="B137" s="30"/>
      <c r="C137" s="30">
        <v>1</v>
      </c>
      <c r="D137" s="30">
        <v>2</v>
      </c>
      <c r="E137" s="30">
        <v>49</v>
      </c>
      <c r="F137" s="31">
        <v>6971</v>
      </c>
      <c r="H137" s="30" t="str">
        <f t="shared" si="19"/>
        <v>P20S1A13</v>
      </c>
      <c r="I137" s="30"/>
      <c r="J137" s="30">
        <v>20</v>
      </c>
      <c r="K137" s="30">
        <v>1</v>
      </c>
      <c r="L137" s="30">
        <v>13</v>
      </c>
      <c r="M137" s="31">
        <v>1495</v>
      </c>
      <c r="O137" s="30" t="str">
        <f t="shared" si="20"/>
        <v>P00SA00</v>
      </c>
      <c r="P137" s="30"/>
      <c r="Q137" s="30"/>
      <c r="R137" s="30"/>
      <c r="S137" s="30"/>
      <c r="T137" s="31"/>
      <c r="V137" s="30" t="str">
        <f t="shared" si="21"/>
        <v>P20S1A21</v>
      </c>
      <c r="W137" s="30">
        <v>2223</v>
      </c>
      <c r="X137" s="30">
        <v>20</v>
      </c>
      <c r="Y137" s="30">
        <v>1</v>
      </c>
      <c r="Z137" s="30">
        <v>21</v>
      </c>
      <c r="AA137" s="31">
        <v>11782</v>
      </c>
      <c r="AC137" s="144" t="str">
        <f t="shared" si="16"/>
        <v>P15S1A63</v>
      </c>
      <c r="AD137" s="144"/>
      <c r="AE137" s="144">
        <v>15</v>
      </c>
      <c r="AF137" s="144">
        <v>1</v>
      </c>
      <c r="AG137" s="144">
        <v>63</v>
      </c>
      <c r="AH137" s="143">
        <v>1033</v>
      </c>
      <c r="AJ137" s="142" t="str">
        <f t="shared" si="22"/>
        <v>P15S1A06</v>
      </c>
      <c r="AK137" s="142"/>
      <c r="AL137" s="142">
        <v>15</v>
      </c>
      <c r="AM137" s="142">
        <v>1</v>
      </c>
      <c r="AN137" s="142">
        <v>6</v>
      </c>
      <c r="AO137" s="143">
        <v>706</v>
      </c>
      <c r="AQ137" s="163" t="str">
        <f t="shared" si="17"/>
        <v>P20S1A63</v>
      </c>
      <c r="AR137" s="163"/>
      <c r="AS137" s="165">
        <v>20</v>
      </c>
      <c r="AT137" s="163">
        <v>1</v>
      </c>
      <c r="AU137" s="167">
        <v>63</v>
      </c>
      <c r="AV137" s="164">
        <v>1596</v>
      </c>
    </row>
    <row r="138" spans="1:48">
      <c r="A138" s="30" t="str">
        <f t="shared" si="18"/>
        <v>P01S2A50</v>
      </c>
      <c r="B138" s="30"/>
      <c r="C138" s="30">
        <v>1</v>
      </c>
      <c r="D138" s="30">
        <v>2</v>
      </c>
      <c r="E138" s="30">
        <v>50</v>
      </c>
      <c r="F138" s="31">
        <v>7003</v>
      </c>
      <c r="H138" s="30" t="str">
        <f t="shared" si="19"/>
        <v>P20S1A14</v>
      </c>
      <c r="I138" s="30"/>
      <c r="J138" s="30">
        <v>20</v>
      </c>
      <c r="K138" s="30">
        <v>1</v>
      </c>
      <c r="L138" s="30">
        <v>14</v>
      </c>
      <c r="M138" s="31">
        <v>1520</v>
      </c>
      <c r="O138" s="30" t="str">
        <f t="shared" si="20"/>
        <v>P00SA00</v>
      </c>
      <c r="P138" s="30"/>
      <c r="Q138" s="30"/>
      <c r="R138" s="30"/>
      <c r="S138" s="30"/>
      <c r="T138" s="31"/>
      <c r="V138" s="30" t="str">
        <f t="shared" si="21"/>
        <v>P20S1A22</v>
      </c>
      <c r="W138" s="30">
        <v>2223</v>
      </c>
      <c r="X138" s="30">
        <v>20</v>
      </c>
      <c r="Y138" s="30">
        <v>1</v>
      </c>
      <c r="Z138" s="30">
        <v>22</v>
      </c>
      <c r="AA138" s="31">
        <v>11728</v>
      </c>
      <c r="AC138" s="144" t="str">
        <f t="shared" si="16"/>
        <v>P15S1A64</v>
      </c>
      <c r="AD138" s="144"/>
      <c r="AE138" s="144">
        <v>15</v>
      </c>
      <c r="AF138" s="144">
        <v>1</v>
      </c>
      <c r="AG138" s="144">
        <v>64</v>
      </c>
      <c r="AH138" s="143">
        <v>1033</v>
      </c>
      <c r="AJ138" s="142" t="str">
        <f t="shared" si="22"/>
        <v>P15S1A07</v>
      </c>
      <c r="AK138" s="142"/>
      <c r="AL138" s="142">
        <v>15</v>
      </c>
      <c r="AM138" s="142">
        <v>1</v>
      </c>
      <c r="AN138" s="142">
        <v>7</v>
      </c>
      <c r="AO138" s="143">
        <v>713</v>
      </c>
      <c r="AQ138" s="163" t="str">
        <f t="shared" si="17"/>
        <v>P20S1A64</v>
      </c>
      <c r="AR138" s="163"/>
      <c r="AS138" s="165">
        <v>20</v>
      </c>
      <c r="AT138" s="163">
        <v>1</v>
      </c>
      <c r="AU138" s="167">
        <v>64</v>
      </c>
      <c r="AV138" s="164">
        <v>1702</v>
      </c>
    </row>
    <row r="139" spans="1:48">
      <c r="A139" s="30" t="str">
        <f t="shared" si="18"/>
        <v>P01S2A51</v>
      </c>
      <c r="B139" s="30"/>
      <c r="C139" s="30">
        <v>1</v>
      </c>
      <c r="D139" s="30">
        <v>2</v>
      </c>
      <c r="E139" s="30">
        <v>51</v>
      </c>
      <c r="F139" s="31">
        <v>7211</v>
      </c>
      <c r="H139" s="30" t="str">
        <f t="shared" si="19"/>
        <v>P20S1A15</v>
      </c>
      <c r="I139" s="30"/>
      <c r="J139" s="30">
        <v>20</v>
      </c>
      <c r="K139" s="30">
        <v>1</v>
      </c>
      <c r="L139" s="30">
        <v>15</v>
      </c>
      <c r="M139" s="31">
        <v>1543</v>
      </c>
      <c r="O139" s="30" t="str">
        <f t="shared" si="20"/>
        <v>P00SA00</v>
      </c>
      <c r="P139" s="30"/>
      <c r="Q139" s="30"/>
      <c r="R139" s="30"/>
      <c r="S139" s="30"/>
      <c r="T139" s="31"/>
      <c r="V139" s="30" t="str">
        <f t="shared" si="21"/>
        <v>P20S1A23</v>
      </c>
      <c r="W139" s="30">
        <v>2223</v>
      </c>
      <c r="X139" s="30">
        <v>20</v>
      </c>
      <c r="Y139" s="30">
        <v>1</v>
      </c>
      <c r="Z139" s="30">
        <v>23</v>
      </c>
      <c r="AA139" s="31">
        <v>11676</v>
      </c>
      <c r="AC139" s="144" t="str">
        <f t="shared" si="16"/>
        <v>P15S1A65</v>
      </c>
      <c r="AD139" s="144"/>
      <c r="AE139" s="144">
        <v>15</v>
      </c>
      <c r="AF139" s="144">
        <v>1</v>
      </c>
      <c r="AG139" s="144">
        <v>65</v>
      </c>
      <c r="AH139" s="143">
        <v>1035</v>
      </c>
      <c r="AJ139" s="142" t="str">
        <f t="shared" si="22"/>
        <v>P15S1A08</v>
      </c>
      <c r="AK139" s="142"/>
      <c r="AL139" s="142">
        <v>15</v>
      </c>
      <c r="AM139" s="142">
        <v>1</v>
      </c>
      <c r="AN139" s="142">
        <v>8</v>
      </c>
      <c r="AO139" s="143">
        <v>720</v>
      </c>
      <c r="AQ139" s="163" t="str">
        <f t="shared" si="17"/>
        <v>P20S1A65</v>
      </c>
      <c r="AR139" s="163"/>
      <c r="AS139" s="165">
        <v>20</v>
      </c>
      <c r="AT139" s="163">
        <v>1</v>
      </c>
      <c r="AU139" s="167">
        <v>65</v>
      </c>
      <c r="AV139" s="164">
        <v>1815</v>
      </c>
    </row>
    <row r="140" spans="1:48">
      <c r="A140" s="30" t="str">
        <f t="shared" si="18"/>
        <v>P01S2A52</v>
      </c>
      <c r="B140" s="30"/>
      <c r="C140" s="30">
        <v>1</v>
      </c>
      <c r="D140" s="30">
        <v>2</v>
      </c>
      <c r="E140" s="30">
        <v>52</v>
      </c>
      <c r="F140" s="31">
        <v>7420</v>
      </c>
      <c r="H140" s="30" t="str">
        <f t="shared" si="19"/>
        <v>P20S1A16</v>
      </c>
      <c r="I140" s="30"/>
      <c r="J140" s="30">
        <v>20</v>
      </c>
      <c r="K140" s="30">
        <v>1</v>
      </c>
      <c r="L140" s="30">
        <v>16</v>
      </c>
      <c r="M140" s="31">
        <v>1573</v>
      </c>
      <c r="O140" s="30" t="str">
        <f t="shared" si="20"/>
        <v>P00SA00</v>
      </c>
      <c r="P140" s="30"/>
      <c r="Q140" s="30"/>
      <c r="R140" s="30"/>
      <c r="S140" s="30"/>
      <c r="T140" s="31"/>
      <c r="V140" s="30" t="str">
        <f t="shared" si="21"/>
        <v>P20S1A24</v>
      </c>
      <c r="W140" s="30">
        <v>2223</v>
      </c>
      <c r="X140" s="30">
        <v>20</v>
      </c>
      <c r="Y140" s="30">
        <v>1</v>
      </c>
      <c r="Z140" s="30">
        <v>24</v>
      </c>
      <c r="AA140" s="31">
        <v>11625</v>
      </c>
      <c r="AC140" s="144" t="str">
        <f t="shared" si="16"/>
        <v>P15S2A20</v>
      </c>
      <c r="AD140" s="144"/>
      <c r="AE140" s="144">
        <v>15</v>
      </c>
      <c r="AF140" s="144">
        <v>2</v>
      </c>
      <c r="AG140" s="144">
        <v>20</v>
      </c>
      <c r="AH140" s="143">
        <v>924</v>
      </c>
      <c r="AJ140" s="142" t="str">
        <f t="shared" si="22"/>
        <v>P15S1A09</v>
      </c>
      <c r="AK140" s="142"/>
      <c r="AL140" s="142">
        <v>15</v>
      </c>
      <c r="AM140" s="142">
        <v>1</v>
      </c>
      <c r="AN140" s="142">
        <v>9</v>
      </c>
      <c r="AO140" s="143">
        <v>727</v>
      </c>
      <c r="AQ140" s="163" t="str">
        <f t="shared" si="17"/>
        <v>P20S2A20</v>
      </c>
      <c r="AR140" s="163"/>
      <c r="AS140" s="165">
        <v>20</v>
      </c>
      <c r="AT140" s="163">
        <v>2</v>
      </c>
      <c r="AU140" s="166">
        <v>20</v>
      </c>
      <c r="AV140" s="166">
        <v>187</v>
      </c>
    </row>
    <row r="141" spans="1:48">
      <c r="A141" s="30" t="str">
        <f t="shared" si="18"/>
        <v>P01S2A53</v>
      </c>
      <c r="B141" s="30"/>
      <c r="C141" s="30">
        <v>1</v>
      </c>
      <c r="D141" s="30">
        <v>2</v>
      </c>
      <c r="E141" s="30">
        <v>53</v>
      </c>
      <c r="F141" s="31">
        <v>7640</v>
      </c>
      <c r="H141" s="30" t="str">
        <f t="shared" si="19"/>
        <v>P20S1A17</v>
      </c>
      <c r="I141" s="30"/>
      <c r="J141" s="30">
        <v>20</v>
      </c>
      <c r="K141" s="30">
        <v>1</v>
      </c>
      <c r="L141" s="30">
        <v>17</v>
      </c>
      <c r="M141" s="31">
        <v>1604</v>
      </c>
      <c r="O141" s="30" t="str">
        <f t="shared" si="20"/>
        <v>P00SA00</v>
      </c>
      <c r="P141" s="30"/>
      <c r="Q141" s="30"/>
      <c r="R141" s="30"/>
      <c r="S141" s="30"/>
      <c r="T141" s="31"/>
      <c r="V141" s="30" t="str">
        <f t="shared" si="21"/>
        <v>P20S1A25</v>
      </c>
      <c r="W141" s="30">
        <v>2223</v>
      </c>
      <c r="X141" s="30">
        <v>20</v>
      </c>
      <c r="Y141" s="30">
        <v>1</v>
      </c>
      <c r="Z141" s="30">
        <v>25</v>
      </c>
      <c r="AA141" s="31">
        <v>11572</v>
      </c>
      <c r="AC141" s="144" t="str">
        <f t="shared" si="16"/>
        <v>P15S2A21</v>
      </c>
      <c r="AD141" s="144"/>
      <c r="AE141" s="144">
        <v>15</v>
      </c>
      <c r="AF141" s="144">
        <v>2</v>
      </c>
      <c r="AG141" s="144">
        <v>21</v>
      </c>
      <c r="AH141" s="143">
        <v>933</v>
      </c>
      <c r="AJ141" s="142" t="str">
        <f t="shared" si="22"/>
        <v>P15S1A10</v>
      </c>
      <c r="AK141" s="142"/>
      <c r="AL141" s="142">
        <v>15</v>
      </c>
      <c r="AM141" s="142">
        <v>1</v>
      </c>
      <c r="AN141" s="142">
        <v>10</v>
      </c>
      <c r="AO141" s="143">
        <v>734</v>
      </c>
      <c r="AQ141" s="163" t="str">
        <f t="shared" si="17"/>
        <v>P20S2A21</v>
      </c>
      <c r="AR141" s="163"/>
      <c r="AS141" s="165">
        <v>20</v>
      </c>
      <c r="AT141" s="163">
        <v>2</v>
      </c>
      <c r="AU141" s="166">
        <v>21</v>
      </c>
      <c r="AV141" s="166">
        <v>197</v>
      </c>
    </row>
    <row r="142" spans="1:48">
      <c r="A142" s="30" t="str">
        <f t="shared" si="18"/>
        <v>P01S2A54</v>
      </c>
      <c r="B142" s="30"/>
      <c r="C142" s="30">
        <v>1</v>
      </c>
      <c r="D142" s="30">
        <v>2</v>
      </c>
      <c r="E142" s="30">
        <v>54</v>
      </c>
      <c r="F142" s="31">
        <v>7860</v>
      </c>
      <c r="H142" s="30" t="str">
        <f t="shared" si="19"/>
        <v>P20S1A18</v>
      </c>
      <c r="I142" s="30"/>
      <c r="J142" s="30">
        <v>20</v>
      </c>
      <c r="K142" s="30">
        <v>1</v>
      </c>
      <c r="L142" s="30">
        <v>18</v>
      </c>
      <c r="M142" s="31">
        <v>1634</v>
      </c>
      <c r="O142" s="30" t="str">
        <f t="shared" si="20"/>
        <v>P00SA00</v>
      </c>
      <c r="P142" s="30"/>
      <c r="Q142" s="30"/>
      <c r="R142" s="30"/>
      <c r="S142" s="30"/>
      <c r="T142" s="31"/>
      <c r="V142" s="30" t="str">
        <f t="shared" si="21"/>
        <v>P20S1A26</v>
      </c>
      <c r="W142" s="30">
        <v>2223</v>
      </c>
      <c r="X142" s="30">
        <v>20</v>
      </c>
      <c r="Y142" s="30">
        <v>1</v>
      </c>
      <c r="Z142" s="30">
        <v>26</v>
      </c>
      <c r="AA142" s="31">
        <v>11519</v>
      </c>
      <c r="AC142" s="144" t="str">
        <f t="shared" si="16"/>
        <v>P15S2A22</v>
      </c>
      <c r="AD142" s="144"/>
      <c r="AE142" s="144">
        <v>15</v>
      </c>
      <c r="AF142" s="144">
        <v>2</v>
      </c>
      <c r="AG142" s="144">
        <v>22</v>
      </c>
      <c r="AH142" s="143">
        <v>942</v>
      </c>
      <c r="AJ142" s="142" t="str">
        <f t="shared" si="22"/>
        <v>P15S1A11</v>
      </c>
      <c r="AK142" s="142"/>
      <c r="AL142" s="142">
        <v>15</v>
      </c>
      <c r="AM142" s="142">
        <v>1</v>
      </c>
      <c r="AN142" s="142">
        <v>11</v>
      </c>
      <c r="AO142" s="143">
        <v>741</v>
      </c>
      <c r="AQ142" s="163" t="str">
        <f t="shared" si="17"/>
        <v>P20S2A22</v>
      </c>
      <c r="AR142" s="163"/>
      <c r="AS142" s="165">
        <v>20</v>
      </c>
      <c r="AT142" s="163">
        <v>2</v>
      </c>
      <c r="AU142" s="166">
        <v>22</v>
      </c>
      <c r="AV142" s="166">
        <v>206</v>
      </c>
    </row>
    <row r="143" spans="1:48">
      <c r="A143" s="30" t="str">
        <f t="shared" si="18"/>
        <v>P01S2A55</v>
      </c>
      <c r="B143" s="30"/>
      <c r="C143" s="30">
        <v>1</v>
      </c>
      <c r="D143" s="30">
        <v>2</v>
      </c>
      <c r="E143" s="30">
        <v>55</v>
      </c>
      <c r="F143" s="31">
        <v>7876</v>
      </c>
      <c r="H143" s="30" t="str">
        <f t="shared" si="19"/>
        <v>P20S1A19</v>
      </c>
      <c r="I143" s="30"/>
      <c r="J143" s="30">
        <v>20</v>
      </c>
      <c r="K143" s="30">
        <v>1</v>
      </c>
      <c r="L143" s="30">
        <v>19</v>
      </c>
      <c r="M143" s="31">
        <v>1665</v>
      </c>
      <c r="O143" s="30" t="str">
        <f t="shared" si="20"/>
        <v>P00SA00</v>
      </c>
      <c r="P143" s="30"/>
      <c r="Q143" s="30"/>
      <c r="R143" s="30"/>
      <c r="S143" s="30"/>
      <c r="T143" s="31"/>
      <c r="V143" s="30" t="str">
        <f t="shared" si="21"/>
        <v>P20S1A27</v>
      </c>
      <c r="W143" s="30">
        <v>2223</v>
      </c>
      <c r="X143" s="30">
        <v>20</v>
      </c>
      <c r="Y143" s="30">
        <v>1</v>
      </c>
      <c r="Z143" s="30">
        <v>27</v>
      </c>
      <c r="AA143" s="31">
        <v>11462.000000000002</v>
      </c>
      <c r="AC143" s="144" t="str">
        <f t="shared" si="16"/>
        <v>P15S2A23</v>
      </c>
      <c r="AD143" s="144"/>
      <c r="AE143" s="144">
        <v>15</v>
      </c>
      <c r="AF143" s="144">
        <v>2</v>
      </c>
      <c r="AG143" s="144">
        <v>23</v>
      </c>
      <c r="AH143" s="143">
        <v>952</v>
      </c>
      <c r="AJ143" s="142" t="str">
        <f t="shared" si="22"/>
        <v>P15S1A12</v>
      </c>
      <c r="AK143" s="142"/>
      <c r="AL143" s="142">
        <v>15</v>
      </c>
      <c r="AM143" s="142">
        <v>1</v>
      </c>
      <c r="AN143" s="142">
        <v>12</v>
      </c>
      <c r="AO143" s="143">
        <v>748</v>
      </c>
      <c r="AQ143" s="163" t="str">
        <f t="shared" si="17"/>
        <v>P20S2A23</v>
      </c>
      <c r="AR143" s="163"/>
      <c r="AS143" s="165">
        <v>20</v>
      </c>
      <c r="AT143" s="163">
        <v>2</v>
      </c>
      <c r="AU143" s="166">
        <v>23</v>
      </c>
      <c r="AV143" s="166">
        <v>214</v>
      </c>
    </row>
    <row r="144" spans="1:48">
      <c r="A144" s="30" t="str">
        <f t="shared" si="18"/>
        <v>P01S2A56</v>
      </c>
      <c r="B144" s="30"/>
      <c r="C144" s="30">
        <v>1</v>
      </c>
      <c r="D144" s="30">
        <v>2</v>
      </c>
      <c r="E144" s="30">
        <v>56</v>
      </c>
      <c r="F144" s="31">
        <v>8092</v>
      </c>
      <c r="H144" s="30" t="str">
        <f t="shared" si="19"/>
        <v>P20S1A20</v>
      </c>
      <c r="I144" s="30"/>
      <c r="J144" s="30">
        <v>20</v>
      </c>
      <c r="K144" s="30">
        <v>1</v>
      </c>
      <c r="L144" s="30">
        <v>20</v>
      </c>
      <c r="M144" s="31">
        <v>1720</v>
      </c>
      <c r="O144" s="30" t="str">
        <f t="shared" si="20"/>
        <v>P00SA00</v>
      </c>
      <c r="P144" s="30"/>
      <c r="Q144" s="30"/>
      <c r="R144" s="30"/>
      <c r="S144" s="30"/>
      <c r="T144" s="31"/>
      <c r="V144" s="30" t="str">
        <f t="shared" si="21"/>
        <v>P20S1A28</v>
      </c>
      <c r="W144" s="30">
        <v>2223</v>
      </c>
      <c r="X144" s="30">
        <v>20</v>
      </c>
      <c r="Y144" s="30">
        <v>1</v>
      </c>
      <c r="Z144" s="30">
        <v>28</v>
      </c>
      <c r="AA144" s="31">
        <v>11402.000000000002</v>
      </c>
      <c r="AC144" s="144" t="str">
        <f t="shared" si="16"/>
        <v>P15S2A24</v>
      </c>
      <c r="AD144" s="144"/>
      <c r="AE144" s="144">
        <v>15</v>
      </c>
      <c r="AF144" s="144">
        <v>2</v>
      </c>
      <c r="AG144" s="144">
        <v>24</v>
      </c>
      <c r="AH144" s="143">
        <v>961</v>
      </c>
      <c r="AJ144" s="142" t="str">
        <f t="shared" si="22"/>
        <v>P15S1A13</v>
      </c>
      <c r="AK144" s="142"/>
      <c r="AL144" s="142">
        <v>15</v>
      </c>
      <c r="AM144" s="142">
        <v>1</v>
      </c>
      <c r="AN144" s="142">
        <v>13</v>
      </c>
      <c r="AO144" s="143">
        <v>756</v>
      </c>
      <c r="AQ144" s="163" t="str">
        <f t="shared" si="17"/>
        <v>P20S2A24</v>
      </c>
      <c r="AR144" s="163"/>
      <c r="AS144" s="165">
        <v>20</v>
      </c>
      <c r="AT144" s="163">
        <v>2</v>
      </c>
      <c r="AU144" s="166">
        <v>24</v>
      </c>
      <c r="AV144" s="166">
        <v>222</v>
      </c>
    </row>
    <row r="145" spans="1:48">
      <c r="A145" s="30" t="str">
        <f t="shared" si="18"/>
        <v>P01S2A57</v>
      </c>
      <c r="B145" s="30"/>
      <c r="C145" s="30">
        <v>1</v>
      </c>
      <c r="D145" s="30">
        <v>2</v>
      </c>
      <c r="E145" s="30">
        <v>57</v>
      </c>
      <c r="F145" s="31">
        <v>8307</v>
      </c>
      <c r="H145" s="30" t="str">
        <f t="shared" si="19"/>
        <v>P20S1A21</v>
      </c>
      <c r="I145" s="30"/>
      <c r="J145" s="30">
        <v>20</v>
      </c>
      <c r="K145" s="30">
        <v>1</v>
      </c>
      <c r="L145" s="30">
        <v>21</v>
      </c>
      <c r="M145" s="31">
        <v>1750</v>
      </c>
      <c r="O145" s="30" t="str">
        <f t="shared" si="20"/>
        <v>P00SA00</v>
      </c>
      <c r="P145" s="30"/>
      <c r="Q145" s="30"/>
      <c r="R145" s="30"/>
      <c r="S145" s="30"/>
      <c r="T145" s="31"/>
      <c r="V145" s="30" t="str">
        <f t="shared" si="21"/>
        <v>P20S1A29</v>
      </c>
      <c r="W145" s="30">
        <v>2223</v>
      </c>
      <c r="X145" s="30">
        <v>20</v>
      </c>
      <c r="Y145" s="30">
        <v>1</v>
      </c>
      <c r="Z145" s="30">
        <v>29</v>
      </c>
      <c r="AA145" s="31">
        <v>11338</v>
      </c>
      <c r="AC145" s="144" t="str">
        <f t="shared" si="16"/>
        <v>P15S2A25</v>
      </c>
      <c r="AD145" s="144"/>
      <c r="AE145" s="144">
        <v>15</v>
      </c>
      <c r="AF145" s="144">
        <v>2</v>
      </c>
      <c r="AG145" s="144">
        <v>25</v>
      </c>
      <c r="AH145" s="143">
        <v>971</v>
      </c>
      <c r="AJ145" s="142" t="str">
        <f t="shared" si="22"/>
        <v>P15S1A14</v>
      </c>
      <c r="AK145" s="142"/>
      <c r="AL145" s="142">
        <v>15</v>
      </c>
      <c r="AM145" s="142">
        <v>1</v>
      </c>
      <c r="AN145" s="142">
        <v>14</v>
      </c>
      <c r="AO145" s="143">
        <v>763</v>
      </c>
      <c r="AQ145" s="163" t="str">
        <f t="shared" si="17"/>
        <v>P20S2A25</v>
      </c>
      <c r="AR145" s="163"/>
      <c r="AS145" s="165">
        <v>20</v>
      </c>
      <c r="AT145" s="163">
        <v>2</v>
      </c>
      <c r="AU145" s="166">
        <v>25</v>
      </c>
      <c r="AV145" s="166">
        <v>230</v>
      </c>
    </row>
    <row r="146" spans="1:48">
      <c r="A146" s="30" t="str">
        <f t="shared" si="18"/>
        <v>P01S2A58</v>
      </c>
      <c r="B146" s="30"/>
      <c r="C146" s="30">
        <v>1</v>
      </c>
      <c r="D146" s="30">
        <v>2</v>
      </c>
      <c r="E146" s="30">
        <v>58</v>
      </c>
      <c r="F146" s="31">
        <v>8703</v>
      </c>
      <c r="H146" s="30" t="str">
        <f t="shared" si="19"/>
        <v>P20S1A22</v>
      </c>
      <c r="I146" s="30"/>
      <c r="J146" s="30">
        <v>20</v>
      </c>
      <c r="K146" s="30">
        <v>1</v>
      </c>
      <c r="L146" s="30">
        <v>22</v>
      </c>
      <c r="M146" s="31">
        <v>1779</v>
      </c>
      <c r="O146" s="30" t="str">
        <f t="shared" si="20"/>
        <v>P00SA00</v>
      </c>
      <c r="P146" s="30"/>
      <c r="Q146" s="30"/>
      <c r="R146" s="30"/>
      <c r="S146" s="30"/>
      <c r="T146" s="31"/>
      <c r="V146" s="30" t="str">
        <f t="shared" si="21"/>
        <v>P20S1A30</v>
      </c>
      <c r="W146" s="30">
        <v>2223</v>
      </c>
      <c r="X146" s="30">
        <v>20</v>
      </c>
      <c r="Y146" s="30">
        <v>1</v>
      </c>
      <c r="Z146" s="30">
        <v>30</v>
      </c>
      <c r="AA146" s="31">
        <v>11269</v>
      </c>
      <c r="AC146" s="144" t="str">
        <f t="shared" si="16"/>
        <v>P15S2A26</v>
      </c>
      <c r="AD146" s="144"/>
      <c r="AE146" s="144">
        <v>15</v>
      </c>
      <c r="AF146" s="144">
        <v>2</v>
      </c>
      <c r="AG146" s="144">
        <v>26</v>
      </c>
      <c r="AH146" s="143">
        <v>980</v>
      </c>
      <c r="AJ146" s="142" t="str">
        <f t="shared" si="22"/>
        <v>P15S1A15</v>
      </c>
      <c r="AK146" s="142"/>
      <c r="AL146" s="142">
        <v>15</v>
      </c>
      <c r="AM146" s="142">
        <v>1</v>
      </c>
      <c r="AN146" s="142">
        <v>15</v>
      </c>
      <c r="AO146" s="143">
        <v>771</v>
      </c>
      <c r="AQ146" s="163" t="str">
        <f t="shared" si="17"/>
        <v>P20S2A26</v>
      </c>
      <c r="AR146" s="163"/>
      <c r="AS146" s="165">
        <v>20</v>
      </c>
      <c r="AT146" s="163">
        <v>2</v>
      </c>
      <c r="AU146" s="166">
        <v>26</v>
      </c>
      <c r="AV146" s="166">
        <v>239</v>
      </c>
    </row>
    <row r="147" spans="1:48">
      <c r="A147" s="30" t="str">
        <f t="shared" si="18"/>
        <v>P01S2A59</v>
      </c>
      <c r="B147" s="30"/>
      <c r="C147" s="30">
        <v>1</v>
      </c>
      <c r="D147" s="30">
        <v>2</v>
      </c>
      <c r="E147" s="30">
        <v>59</v>
      </c>
      <c r="F147" s="31">
        <v>9099</v>
      </c>
      <c r="H147" s="30" t="str">
        <f t="shared" si="19"/>
        <v>P20S1A23</v>
      </c>
      <c r="I147" s="30"/>
      <c r="J147" s="30">
        <v>20</v>
      </c>
      <c r="K147" s="30">
        <v>1</v>
      </c>
      <c r="L147" s="30">
        <v>23</v>
      </c>
      <c r="M147" s="31">
        <v>1807</v>
      </c>
      <c r="O147" s="30" t="str">
        <f t="shared" si="20"/>
        <v>P00SA00</v>
      </c>
      <c r="P147" s="30"/>
      <c r="Q147" s="30"/>
      <c r="R147" s="30"/>
      <c r="S147" s="30"/>
      <c r="T147" s="31"/>
      <c r="V147" s="30" t="str">
        <f t="shared" si="21"/>
        <v>P20S1A31</v>
      </c>
      <c r="W147" s="30">
        <v>2223</v>
      </c>
      <c r="X147" s="30">
        <v>20</v>
      </c>
      <c r="Y147" s="30">
        <v>1</v>
      </c>
      <c r="Z147" s="30">
        <v>31</v>
      </c>
      <c r="AA147" s="31">
        <v>11194</v>
      </c>
      <c r="AC147" s="144" t="str">
        <f t="shared" si="16"/>
        <v>P15S2A27</v>
      </c>
      <c r="AD147" s="144"/>
      <c r="AE147" s="144">
        <v>15</v>
      </c>
      <c r="AF147" s="144">
        <v>2</v>
      </c>
      <c r="AG147" s="144">
        <v>27</v>
      </c>
      <c r="AH147" s="143">
        <v>990</v>
      </c>
      <c r="AJ147" s="142" t="str">
        <f t="shared" si="22"/>
        <v>P15S1A16</v>
      </c>
      <c r="AK147" s="142"/>
      <c r="AL147" s="142">
        <v>15</v>
      </c>
      <c r="AM147" s="142">
        <v>1</v>
      </c>
      <c r="AN147" s="142">
        <v>16</v>
      </c>
      <c r="AO147" s="143">
        <v>778</v>
      </c>
      <c r="AQ147" s="163" t="str">
        <f t="shared" si="17"/>
        <v>P20S2A27</v>
      </c>
      <c r="AR147" s="163"/>
      <c r="AS147" s="165">
        <v>20</v>
      </c>
      <c r="AT147" s="163">
        <v>2</v>
      </c>
      <c r="AU147" s="166">
        <v>27</v>
      </c>
      <c r="AV147" s="166">
        <v>247</v>
      </c>
    </row>
    <row r="148" spans="1:48">
      <c r="A148" s="30" t="str">
        <f t="shared" si="18"/>
        <v>P01S2A60</v>
      </c>
      <c r="B148" s="30"/>
      <c r="C148" s="30">
        <v>1</v>
      </c>
      <c r="D148" s="30">
        <v>2</v>
      </c>
      <c r="E148" s="30">
        <v>60</v>
      </c>
      <c r="F148" s="31">
        <v>9005</v>
      </c>
      <c r="H148" s="30" t="str">
        <f t="shared" si="19"/>
        <v>P20S1A24</v>
      </c>
      <c r="I148" s="30"/>
      <c r="J148" s="30">
        <v>20</v>
      </c>
      <c r="K148" s="30">
        <v>1</v>
      </c>
      <c r="L148" s="30">
        <v>24</v>
      </c>
      <c r="M148" s="31">
        <v>1835</v>
      </c>
      <c r="O148" s="30" t="str">
        <f t="shared" si="20"/>
        <v>P00SA00</v>
      </c>
      <c r="P148" s="30"/>
      <c r="Q148" s="30"/>
      <c r="R148" s="30"/>
      <c r="S148" s="30"/>
      <c r="T148" s="31"/>
      <c r="V148" s="30" t="str">
        <f t="shared" si="21"/>
        <v>P20S1A32</v>
      </c>
      <c r="W148" s="30">
        <v>2223</v>
      </c>
      <c r="X148" s="30">
        <v>20</v>
      </c>
      <c r="Y148" s="30">
        <v>1</v>
      </c>
      <c r="Z148" s="30">
        <v>32</v>
      </c>
      <c r="AA148" s="31">
        <v>11114</v>
      </c>
      <c r="AC148" s="144" t="str">
        <f t="shared" si="16"/>
        <v>P15S2A28</v>
      </c>
      <c r="AD148" s="144"/>
      <c r="AE148" s="144">
        <v>15</v>
      </c>
      <c r="AF148" s="144">
        <v>2</v>
      </c>
      <c r="AG148" s="144">
        <v>28</v>
      </c>
      <c r="AH148" s="143">
        <v>1000</v>
      </c>
      <c r="AJ148" s="142" t="str">
        <f t="shared" si="22"/>
        <v>P15S1A17</v>
      </c>
      <c r="AK148" s="142"/>
      <c r="AL148" s="142">
        <v>15</v>
      </c>
      <c r="AM148" s="142">
        <v>1</v>
      </c>
      <c r="AN148" s="142">
        <v>17</v>
      </c>
      <c r="AO148" s="143">
        <v>786</v>
      </c>
      <c r="AQ148" s="163" t="str">
        <f t="shared" si="17"/>
        <v>P20S2A28</v>
      </c>
      <c r="AR148" s="163"/>
      <c r="AS148" s="165">
        <v>20</v>
      </c>
      <c r="AT148" s="163">
        <v>2</v>
      </c>
      <c r="AU148" s="166">
        <v>28</v>
      </c>
      <c r="AV148" s="166">
        <v>255</v>
      </c>
    </row>
    <row r="149" spans="1:48">
      <c r="A149" s="30" t="str">
        <f t="shared" si="18"/>
        <v>P01S2A61</v>
      </c>
      <c r="B149" s="30"/>
      <c r="C149" s="30">
        <v>1</v>
      </c>
      <c r="D149" s="30">
        <v>2</v>
      </c>
      <c r="E149" s="30">
        <v>61</v>
      </c>
      <c r="F149" s="31">
        <v>9386</v>
      </c>
      <c r="H149" s="30" t="str">
        <f t="shared" si="19"/>
        <v>P20S1A25</v>
      </c>
      <c r="I149" s="30"/>
      <c r="J149" s="30">
        <v>20</v>
      </c>
      <c r="K149" s="30">
        <v>1</v>
      </c>
      <c r="L149" s="30">
        <v>25</v>
      </c>
      <c r="M149" s="31">
        <v>1862</v>
      </c>
      <c r="O149" s="30" t="str">
        <f t="shared" si="20"/>
        <v>P00SA00</v>
      </c>
      <c r="P149" s="30"/>
      <c r="Q149" s="30"/>
      <c r="R149" s="30"/>
      <c r="S149" s="30"/>
      <c r="T149" s="31"/>
      <c r="V149" s="30" t="str">
        <f t="shared" si="21"/>
        <v>P20S1A33</v>
      </c>
      <c r="W149" s="30">
        <v>2223</v>
      </c>
      <c r="X149" s="30">
        <v>20</v>
      </c>
      <c r="Y149" s="30">
        <v>1</v>
      </c>
      <c r="Z149" s="30">
        <v>33</v>
      </c>
      <c r="AA149" s="31">
        <v>11028</v>
      </c>
      <c r="AC149" s="144" t="str">
        <f t="shared" si="16"/>
        <v>P15S2A29</v>
      </c>
      <c r="AD149" s="144"/>
      <c r="AE149" s="144">
        <v>15</v>
      </c>
      <c r="AF149" s="144">
        <v>2</v>
      </c>
      <c r="AG149" s="144">
        <v>29</v>
      </c>
      <c r="AH149" s="143">
        <v>1002</v>
      </c>
      <c r="AJ149" s="142" t="str">
        <f t="shared" si="22"/>
        <v>P15S1A18</v>
      </c>
      <c r="AK149" s="142"/>
      <c r="AL149" s="142">
        <v>15</v>
      </c>
      <c r="AM149" s="142">
        <v>1</v>
      </c>
      <c r="AN149" s="142">
        <v>18</v>
      </c>
      <c r="AO149" s="143">
        <v>794</v>
      </c>
      <c r="AQ149" s="163" t="str">
        <f t="shared" si="17"/>
        <v>P20S2A29</v>
      </c>
      <c r="AR149" s="163"/>
      <c r="AS149" s="165">
        <v>20</v>
      </c>
      <c r="AT149" s="163">
        <v>2</v>
      </c>
      <c r="AU149" s="166">
        <v>29</v>
      </c>
      <c r="AV149" s="166">
        <v>263</v>
      </c>
    </row>
    <row r="150" spans="1:48">
      <c r="A150" s="30" t="str">
        <f t="shared" si="18"/>
        <v>P01S2A62</v>
      </c>
      <c r="B150" s="30"/>
      <c r="C150" s="30">
        <v>1</v>
      </c>
      <c r="D150" s="30">
        <v>2</v>
      </c>
      <c r="E150" s="30">
        <v>62</v>
      </c>
      <c r="F150" s="31">
        <v>9767</v>
      </c>
      <c r="H150" s="30" t="str">
        <f t="shared" si="19"/>
        <v>P20S1A26</v>
      </c>
      <c r="I150" s="30"/>
      <c r="J150" s="30">
        <v>20</v>
      </c>
      <c r="K150" s="30">
        <v>1</v>
      </c>
      <c r="L150" s="30">
        <v>26</v>
      </c>
      <c r="M150" s="31">
        <v>1893</v>
      </c>
      <c r="O150" s="30" t="str">
        <f t="shared" si="20"/>
        <v>P00SA00</v>
      </c>
      <c r="P150" s="30"/>
      <c r="Q150" s="30"/>
      <c r="R150" s="30"/>
      <c r="S150" s="30"/>
      <c r="T150" s="31"/>
      <c r="V150" s="30" t="str">
        <f t="shared" si="21"/>
        <v>P20S1A34</v>
      </c>
      <c r="W150" s="30">
        <v>2223</v>
      </c>
      <c r="X150" s="30">
        <v>20</v>
      </c>
      <c r="Y150" s="30">
        <v>1</v>
      </c>
      <c r="Z150" s="30">
        <v>34</v>
      </c>
      <c r="AA150" s="31">
        <v>10935</v>
      </c>
      <c r="AC150" s="144" t="str">
        <f t="shared" si="16"/>
        <v>P15S2A30</v>
      </c>
      <c r="AD150" s="144"/>
      <c r="AE150" s="144">
        <v>15</v>
      </c>
      <c r="AF150" s="144">
        <v>2</v>
      </c>
      <c r="AG150" s="144">
        <v>30</v>
      </c>
      <c r="AH150" s="143">
        <v>1004</v>
      </c>
      <c r="AJ150" s="142" t="str">
        <f t="shared" si="22"/>
        <v>P15S1A19</v>
      </c>
      <c r="AK150" s="142"/>
      <c r="AL150" s="142">
        <v>15</v>
      </c>
      <c r="AM150" s="142">
        <v>1</v>
      </c>
      <c r="AN150" s="142">
        <v>19</v>
      </c>
      <c r="AO150" s="143">
        <v>802</v>
      </c>
      <c r="AQ150" s="163" t="str">
        <f t="shared" si="17"/>
        <v>P20S2A30</v>
      </c>
      <c r="AR150" s="163"/>
      <c r="AS150" s="165">
        <v>20</v>
      </c>
      <c r="AT150" s="163">
        <v>2</v>
      </c>
      <c r="AU150" s="166">
        <v>30</v>
      </c>
      <c r="AV150" s="166">
        <v>272</v>
      </c>
    </row>
    <row r="151" spans="1:48">
      <c r="A151" s="30" t="str">
        <f t="shared" si="18"/>
        <v>P01S2A63</v>
      </c>
      <c r="B151" s="30"/>
      <c r="C151" s="30">
        <v>1</v>
      </c>
      <c r="D151" s="30">
        <v>2</v>
      </c>
      <c r="E151" s="30">
        <v>63</v>
      </c>
      <c r="F151" s="31">
        <v>10024</v>
      </c>
      <c r="H151" s="30" t="str">
        <f t="shared" si="19"/>
        <v>P20S1A27</v>
      </c>
      <c r="I151" s="30"/>
      <c r="J151" s="30">
        <v>20</v>
      </c>
      <c r="K151" s="30">
        <v>1</v>
      </c>
      <c r="L151" s="30">
        <v>27</v>
      </c>
      <c r="M151" s="31">
        <v>1923</v>
      </c>
      <c r="O151" s="30" t="str">
        <f t="shared" si="20"/>
        <v>P00SA00</v>
      </c>
      <c r="P151" s="30"/>
      <c r="Q151" s="30"/>
      <c r="R151" s="30"/>
      <c r="S151" s="30"/>
      <c r="T151" s="31"/>
      <c r="V151" s="30" t="str">
        <f t="shared" si="21"/>
        <v>P20S1A35</v>
      </c>
      <c r="W151" s="30">
        <v>2223</v>
      </c>
      <c r="X151" s="30">
        <v>20</v>
      </c>
      <c r="Y151" s="30">
        <v>1</v>
      </c>
      <c r="Z151" s="30">
        <v>35</v>
      </c>
      <c r="AA151" s="31">
        <v>10834.999999999998</v>
      </c>
      <c r="AC151" s="144" t="str">
        <f t="shared" si="16"/>
        <v>P15S2A31</v>
      </c>
      <c r="AD151" s="144"/>
      <c r="AE151" s="144">
        <v>15</v>
      </c>
      <c r="AF151" s="144">
        <v>2</v>
      </c>
      <c r="AG151" s="144">
        <v>31</v>
      </c>
      <c r="AH151" s="143">
        <v>1014</v>
      </c>
      <c r="AJ151" s="142" t="str">
        <f t="shared" si="22"/>
        <v>P15S1A20</v>
      </c>
      <c r="AK151" s="142"/>
      <c r="AL151" s="142">
        <v>15</v>
      </c>
      <c r="AM151" s="142">
        <v>1</v>
      </c>
      <c r="AN151" s="142">
        <v>20</v>
      </c>
      <c r="AO151" s="143">
        <v>810</v>
      </c>
      <c r="AQ151" s="163" t="str">
        <f t="shared" si="17"/>
        <v>P20S2A31</v>
      </c>
      <c r="AR151" s="163"/>
      <c r="AS151" s="165">
        <v>20</v>
      </c>
      <c r="AT151" s="163">
        <v>2</v>
      </c>
      <c r="AU151" s="166">
        <v>31</v>
      </c>
      <c r="AV151" s="166">
        <v>279</v>
      </c>
    </row>
    <row r="152" spans="1:48">
      <c r="A152" s="30" t="str">
        <f t="shared" si="18"/>
        <v>P01S2A64</v>
      </c>
      <c r="B152" s="30"/>
      <c r="C152" s="30">
        <v>1</v>
      </c>
      <c r="D152" s="30">
        <v>2</v>
      </c>
      <c r="E152" s="30">
        <v>64</v>
      </c>
      <c r="F152" s="31">
        <v>10280</v>
      </c>
      <c r="H152" s="30" t="str">
        <f t="shared" si="19"/>
        <v>P20S1A28</v>
      </c>
      <c r="I152" s="30"/>
      <c r="J152" s="30">
        <v>20</v>
      </c>
      <c r="K152" s="30">
        <v>1</v>
      </c>
      <c r="L152" s="30">
        <v>28</v>
      </c>
      <c r="M152" s="31">
        <v>1954</v>
      </c>
      <c r="O152" s="30" t="str">
        <f t="shared" si="20"/>
        <v>P00SA00</v>
      </c>
      <c r="P152" s="30"/>
      <c r="Q152" s="30"/>
      <c r="R152" s="30"/>
      <c r="S152" s="30"/>
      <c r="T152" s="31"/>
      <c r="V152" s="30" t="str">
        <f t="shared" si="21"/>
        <v>P20S1A36</v>
      </c>
      <c r="W152" s="30">
        <v>2223</v>
      </c>
      <c r="X152" s="30">
        <v>20</v>
      </c>
      <c r="Y152" s="30">
        <v>1</v>
      </c>
      <c r="Z152" s="30">
        <v>36</v>
      </c>
      <c r="AA152" s="31">
        <v>10730</v>
      </c>
      <c r="AC152" s="144" t="str">
        <f t="shared" si="16"/>
        <v>P15S2A32</v>
      </c>
      <c r="AD152" s="144"/>
      <c r="AE152" s="144">
        <v>15</v>
      </c>
      <c r="AF152" s="144">
        <v>2</v>
      </c>
      <c r="AG152" s="144">
        <v>32</v>
      </c>
      <c r="AH152" s="143">
        <v>1024</v>
      </c>
      <c r="AJ152" s="142" t="str">
        <f t="shared" si="22"/>
        <v>P15S1A21</v>
      </c>
      <c r="AK152" s="142"/>
      <c r="AL152" s="142">
        <v>15</v>
      </c>
      <c r="AM152" s="142">
        <v>1</v>
      </c>
      <c r="AN152" s="142">
        <v>21</v>
      </c>
      <c r="AO152" s="143">
        <v>818</v>
      </c>
      <c r="AQ152" s="163" t="str">
        <f t="shared" si="17"/>
        <v>P20S2A32</v>
      </c>
      <c r="AR152" s="163"/>
      <c r="AS152" s="165">
        <v>20</v>
      </c>
      <c r="AT152" s="163">
        <v>2</v>
      </c>
      <c r="AU152" s="166">
        <v>32</v>
      </c>
      <c r="AV152" s="166">
        <v>287</v>
      </c>
    </row>
    <row r="153" spans="1:48">
      <c r="A153" s="30" t="str">
        <f t="shared" si="18"/>
        <v>P01S2A65</v>
      </c>
      <c r="B153" s="30"/>
      <c r="C153" s="30">
        <v>1</v>
      </c>
      <c r="D153" s="30">
        <v>2</v>
      </c>
      <c r="E153" s="30">
        <v>65</v>
      </c>
      <c r="F153" s="31">
        <v>10251</v>
      </c>
      <c r="H153" s="30" t="str">
        <f t="shared" si="19"/>
        <v>P20S1A29</v>
      </c>
      <c r="I153" s="30"/>
      <c r="J153" s="30">
        <v>20</v>
      </c>
      <c r="K153" s="30">
        <v>1</v>
      </c>
      <c r="L153" s="30">
        <v>29</v>
      </c>
      <c r="M153" s="31">
        <v>1985</v>
      </c>
      <c r="O153" s="30" t="str">
        <f t="shared" si="20"/>
        <v>P00SA00</v>
      </c>
      <c r="P153" s="30"/>
      <c r="Q153" s="30"/>
      <c r="R153" s="30"/>
      <c r="S153" s="30"/>
      <c r="T153" s="31"/>
      <c r="V153" s="30" t="str">
        <f t="shared" si="21"/>
        <v>P20S1A37</v>
      </c>
      <c r="W153" s="30">
        <v>2223</v>
      </c>
      <c r="X153" s="30">
        <v>20</v>
      </c>
      <c r="Y153" s="30">
        <v>1</v>
      </c>
      <c r="Z153" s="30">
        <v>37</v>
      </c>
      <c r="AA153" s="31">
        <v>10618</v>
      </c>
      <c r="AC153" s="144" t="str">
        <f t="shared" si="16"/>
        <v>P15S2A33</v>
      </c>
      <c r="AD153" s="144"/>
      <c r="AE153" s="144">
        <v>15</v>
      </c>
      <c r="AF153" s="144">
        <v>2</v>
      </c>
      <c r="AG153" s="144">
        <v>33</v>
      </c>
      <c r="AH153" s="143">
        <v>1034</v>
      </c>
      <c r="AJ153" s="142" t="str">
        <f t="shared" si="22"/>
        <v>P15S1A22</v>
      </c>
      <c r="AK153" s="142"/>
      <c r="AL153" s="142">
        <v>15</v>
      </c>
      <c r="AM153" s="142">
        <v>1</v>
      </c>
      <c r="AN153" s="142">
        <v>22</v>
      </c>
      <c r="AO153" s="143">
        <v>826</v>
      </c>
      <c r="AQ153" s="163" t="str">
        <f t="shared" si="17"/>
        <v>P20S2A33</v>
      </c>
      <c r="AR153" s="163"/>
      <c r="AS153" s="165">
        <v>20</v>
      </c>
      <c r="AT153" s="163">
        <v>2</v>
      </c>
      <c r="AU153" s="166">
        <v>33</v>
      </c>
      <c r="AV153" s="166">
        <v>295</v>
      </c>
    </row>
    <row r="154" spans="1:48">
      <c r="A154" s="30" t="str">
        <f t="shared" si="18"/>
        <v>P01S2A66</v>
      </c>
      <c r="B154" s="30"/>
      <c r="C154" s="30">
        <v>1</v>
      </c>
      <c r="D154" s="30">
        <v>2</v>
      </c>
      <c r="E154" s="30">
        <v>66</v>
      </c>
      <c r="F154" s="31">
        <v>10495</v>
      </c>
      <c r="H154" s="30" t="str">
        <f t="shared" si="19"/>
        <v>P20S1A30</v>
      </c>
      <c r="I154" s="30"/>
      <c r="J154" s="30">
        <v>20</v>
      </c>
      <c r="K154" s="30">
        <v>1</v>
      </c>
      <c r="L154" s="30">
        <v>30</v>
      </c>
      <c r="M154" s="31">
        <v>2016</v>
      </c>
      <c r="O154" s="30" t="str">
        <f t="shared" si="20"/>
        <v>P00SA00</v>
      </c>
      <c r="P154" s="30"/>
      <c r="Q154" s="30"/>
      <c r="R154" s="30"/>
      <c r="S154" s="30"/>
      <c r="T154" s="31"/>
      <c r="V154" s="30" t="str">
        <f t="shared" si="21"/>
        <v>P20S1A38</v>
      </c>
      <c r="W154" s="30">
        <v>2223</v>
      </c>
      <c r="X154" s="30">
        <v>20</v>
      </c>
      <c r="Y154" s="30">
        <v>1</v>
      </c>
      <c r="Z154" s="30">
        <v>38</v>
      </c>
      <c r="AA154" s="31">
        <v>10500</v>
      </c>
      <c r="AC154" s="144" t="str">
        <f t="shared" si="16"/>
        <v>P15S2A34</v>
      </c>
      <c r="AD154" s="144"/>
      <c r="AE154" s="144">
        <v>15</v>
      </c>
      <c r="AF154" s="144">
        <v>2</v>
      </c>
      <c r="AG154" s="144">
        <v>34</v>
      </c>
      <c r="AH154" s="143">
        <v>1043</v>
      </c>
      <c r="AJ154" s="142" t="str">
        <f t="shared" si="22"/>
        <v>P15S1A23</v>
      </c>
      <c r="AK154" s="142"/>
      <c r="AL154" s="142">
        <v>15</v>
      </c>
      <c r="AM154" s="142">
        <v>1</v>
      </c>
      <c r="AN154" s="142">
        <v>23</v>
      </c>
      <c r="AO154" s="143">
        <v>834</v>
      </c>
      <c r="AQ154" s="163" t="str">
        <f t="shared" si="17"/>
        <v>P20S2A34</v>
      </c>
      <c r="AR154" s="163"/>
      <c r="AS154" s="165">
        <v>20</v>
      </c>
      <c r="AT154" s="163">
        <v>2</v>
      </c>
      <c r="AU154" s="166">
        <v>34</v>
      </c>
      <c r="AV154" s="166">
        <v>304</v>
      </c>
    </row>
    <row r="155" spans="1:48">
      <c r="A155" s="30" t="str">
        <f t="shared" si="18"/>
        <v>P01S2A67</v>
      </c>
      <c r="B155" s="30"/>
      <c r="C155" s="30">
        <v>1</v>
      </c>
      <c r="D155" s="30">
        <v>2</v>
      </c>
      <c r="E155" s="30">
        <v>67</v>
      </c>
      <c r="F155" s="31">
        <v>10740</v>
      </c>
      <c r="H155" s="30" t="str">
        <f t="shared" si="19"/>
        <v>P20S1A31</v>
      </c>
      <c r="I155" s="30"/>
      <c r="J155" s="30">
        <v>20</v>
      </c>
      <c r="K155" s="30">
        <v>1</v>
      </c>
      <c r="L155" s="30">
        <v>31</v>
      </c>
      <c r="M155" s="31">
        <v>2057</v>
      </c>
      <c r="O155" s="30" t="str">
        <f t="shared" si="20"/>
        <v>P00SA00</v>
      </c>
      <c r="P155" s="30"/>
      <c r="Q155" s="30"/>
      <c r="R155" s="30"/>
      <c r="S155" s="30"/>
      <c r="T155" s="31"/>
      <c r="V155" s="30" t="str">
        <f t="shared" si="21"/>
        <v>P20S1A39</v>
      </c>
      <c r="W155" s="30">
        <v>2223</v>
      </c>
      <c r="X155" s="30">
        <v>20</v>
      </c>
      <c r="Y155" s="30">
        <v>1</v>
      </c>
      <c r="Z155" s="30">
        <v>39</v>
      </c>
      <c r="AA155" s="31">
        <v>10376</v>
      </c>
      <c r="AC155" s="144" t="str">
        <f t="shared" si="16"/>
        <v>P15S2A35</v>
      </c>
      <c r="AD155" s="144"/>
      <c r="AE155" s="144">
        <v>15</v>
      </c>
      <c r="AF155" s="144">
        <v>2</v>
      </c>
      <c r="AG155" s="144">
        <v>35</v>
      </c>
      <c r="AH155" s="143">
        <v>1047</v>
      </c>
      <c r="AJ155" s="142" t="str">
        <f t="shared" si="22"/>
        <v>P15S1A24</v>
      </c>
      <c r="AK155" s="142"/>
      <c r="AL155" s="142">
        <v>15</v>
      </c>
      <c r="AM155" s="142">
        <v>1</v>
      </c>
      <c r="AN155" s="142">
        <v>24</v>
      </c>
      <c r="AO155" s="143">
        <v>843</v>
      </c>
      <c r="AQ155" s="163" t="str">
        <f t="shared" si="17"/>
        <v>P20S2A35</v>
      </c>
      <c r="AR155" s="163"/>
      <c r="AS155" s="165">
        <v>20</v>
      </c>
      <c r="AT155" s="163">
        <v>2</v>
      </c>
      <c r="AU155" s="166">
        <v>35</v>
      </c>
      <c r="AV155" s="166">
        <v>314</v>
      </c>
    </row>
    <row r="156" spans="1:48">
      <c r="A156" s="30" t="str">
        <f t="shared" si="18"/>
        <v>P01S2A68</v>
      </c>
      <c r="B156" s="30"/>
      <c r="C156" s="30">
        <v>1</v>
      </c>
      <c r="D156" s="30">
        <v>2</v>
      </c>
      <c r="E156" s="30">
        <v>68</v>
      </c>
      <c r="F156" s="31">
        <v>11136</v>
      </c>
      <c r="H156" s="30" t="str">
        <f t="shared" si="19"/>
        <v>P20S1A32</v>
      </c>
      <c r="I156" s="30"/>
      <c r="J156" s="30">
        <v>20</v>
      </c>
      <c r="K156" s="30">
        <v>1</v>
      </c>
      <c r="L156" s="30">
        <v>32</v>
      </c>
      <c r="M156" s="31">
        <v>2098</v>
      </c>
      <c r="O156" s="30" t="str">
        <f t="shared" si="20"/>
        <v>P00SA00</v>
      </c>
      <c r="P156" s="30"/>
      <c r="Q156" s="30"/>
      <c r="R156" s="30"/>
      <c r="S156" s="30"/>
      <c r="T156" s="31"/>
      <c r="V156" s="30" t="str">
        <f t="shared" si="21"/>
        <v>P20S1A40</v>
      </c>
      <c r="W156" s="30">
        <v>2223</v>
      </c>
      <c r="X156" s="30">
        <v>20</v>
      </c>
      <c r="Y156" s="30">
        <v>1</v>
      </c>
      <c r="Z156" s="30">
        <v>40</v>
      </c>
      <c r="AA156" s="31">
        <v>10248</v>
      </c>
      <c r="AC156" s="144" t="str">
        <f t="shared" si="16"/>
        <v>P15S2A36</v>
      </c>
      <c r="AD156" s="144"/>
      <c r="AE156" s="144">
        <v>15</v>
      </c>
      <c r="AF156" s="144">
        <v>2</v>
      </c>
      <c r="AG156" s="144">
        <v>36</v>
      </c>
      <c r="AH156" s="143">
        <v>1049</v>
      </c>
      <c r="AJ156" s="142" t="str">
        <f t="shared" si="22"/>
        <v>P15S1A25</v>
      </c>
      <c r="AK156" s="142"/>
      <c r="AL156" s="142">
        <v>15</v>
      </c>
      <c r="AM156" s="142">
        <v>1</v>
      </c>
      <c r="AN156" s="142">
        <v>25</v>
      </c>
      <c r="AO156" s="143">
        <v>851</v>
      </c>
      <c r="AQ156" s="163" t="str">
        <f t="shared" si="17"/>
        <v>P20S2A36</v>
      </c>
      <c r="AR156" s="163"/>
      <c r="AS156" s="165">
        <v>20</v>
      </c>
      <c r="AT156" s="163">
        <v>2</v>
      </c>
      <c r="AU156" s="166">
        <v>36</v>
      </c>
      <c r="AV156" s="166">
        <v>323</v>
      </c>
    </row>
    <row r="157" spans="1:48">
      <c r="A157" s="30" t="str">
        <f t="shared" si="18"/>
        <v>P01S2A69</v>
      </c>
      <c r="B157" s="30"/>
      <c r="C157" s="30">
        <v>1</v>
      </c>
      <c r="D157" s="30">
        <v>2</v>
      </c>
      <c r="E157" s="30">
        <v>69</v>
      </c>
      <c r="F157" s="31">
        <v>11532</v>
      </c>
      <c r="H157" s="30" t="str">
        <f t="shared" si="19"/>
        <v>P20S1A33</v>
      </c>
      <c r="I157" s="30"/>
      <c r="J157" s="30">
        <v>20</v>
      </c>
      <c r="K157" s="30">
        <v>1</v>
      </c>
      <c r="L157" s="30">
        <v>33</v>
      </c>
      <c r="M157" s="31">
        <v>2143</v>
      </c>
      <c r="O157" s="30" t="str">
        <f t="shared" si="20"/>
        <v>P00SA00</v>
      </c>
      <c r="P157" s="30"/>
      <c r="Q157" s="30"/>
      <c r="R157" s="30"/>
      <c r="S157" s="30"/>
      <c r="T157" s="31"/>
      <c r="V157" s="30" t="str">
        <f t="shared" si="21"/>
        <v>P20S1A41</v>
      </c>
      <c r="W157" s="30">
        <v>2223</v>
      </c>
      <c r="X157" s="30">
        <v>20</v>
      </c>
      <c r="Y157" s="30">
        <v>1</v>
      </c>
      <c r="Z157" s="30">
        <v>41</v>
      </c>
      <c r="AA157" s="31">
        <v>10114</v>
      </c>
      <c r="AC157" s="144" t="str">
        <f t="shared" si="16"/>
        <v>P15S2A37</v>
      </c>
      <c r="AD157" s="144"/>
      <c r="AE157" s="144">
        <v>15</v>
      </c>
      <c r="AF157" s="144">
        <v>2</v>
      </c>
      <c r="AG157" s="144">
        <v>37</v>
      </c>
      <c r="AH157" s="143">
        <v>1059</v>
      </c>
      <c r="AJ157" s="142" t="str">
        <f t="shared" si="22"/>
        <v>P15S1A26</v>
      </c>
      <c r="AK157" s="142"/>
      <c r="AL157" s="142">
        <v>15</v>
      </c>
      <c r="AM157" s="142">
        <v>1</v>
      </c>
      <c r="AN157" s="142">
        <v>26</v>
      </c>
      <c r="AO157" s="143">
        <v>859</v>
      </c>
      <c r="AQ157" s="163" t="str">
        <f t="shared" si="17"/>
        <v>P20S2A37</v>
      </c>
      <c r="AR157" s="163"/>
      <c r="AS157" s="165">
        <v>20</v>
      </c>
      <c r="AT157" s="163">
        <v>2</v>
      </c>
      <c r="AU157" s="166">
        <v>37</v>
      </c>
      <c r="AV157" s="166">
        <v>334</v>
      </c>
    </row>
    <row r="158" spans="1:48">
      <c r="A158" s="30" t="str">
        <f t="shared" si="18"/>
        <v>P01S2A70</v>
      </c>
      <c r="B158" s="30"/>
      <c r="C158" s="30">
        <v>1</v>
      </c>
      <c r="D158" s="30">
        <v>2</v>
      </c>
      <c r="E158" s="30">
        <v>70</v>
      </c>
      <c r="F158" s="31">
        <v>11629</v>
      </c>
      <c r="H158" s="30" t="str">
        <f t="shared" si="19"/>
        <v>P20S1A34</v>
      </c>
      <c r="I158" s="30"/>
      <c r="J158" s="30">
        <v>20</v>
      </c>
      <c r="K158" s="30">
        <v>1</v>
      </c>
      <c r="L158" s="30">
        <v>34</v>
      </c>
      <c r="M158" s="31">
        <v>2188</v>
      </c>
      <c r="O158" s="30" t="str">
        <f t="shared" si="20"/>
        <v>P00SA00</v>
      </c>
      <c r="P158" s="30"/>
      <c r="Q158" s="30"/>
      <c r="R158" s="30"/>
      <c r="S158" s="30"/>
      <c r="T158" s="31"/>
      <c r="V158" s="30" t="str">
        <f t="shared" si="21"/>
        <v>P20S1A42</v>
      </c>
      <c r="W158" s="30">
        <v>2223</v>
      </c>
      <c r="X158" s="30">
        <v>20</v>
      </c>
      <c r="Y158" s="30">
        <v>1</v>
      </c>
      <c r="Z158" s="30">
        <v>42</v>
      </c>
      <c r="AA158" s="31">
        <v>9977</v>
      </c>
      <c r="AC158" s="144" t="str">
        <f t="shared" si="16"/>
        <v>P15S2A38</v>
      </c>
      <c r="AD158" s="144"/>
      <c r="AE158" s="144">
        <v>15</v>
      </c>
      <c r="AF158" s="144">
        <v>2</v>
      </c>
      <c r="AG158" s="144">
        <v>38</v>
      </c>
      <c r="AH158" s="143">
        <v>1061</v>
      </c>
      <c r="AJ158" s="142" t="str">
        <f t="shared" si="22"/>
        <v>P15S1A27</v>
      </c>
      <c r="AK158" s="142"/>
      <c r="AL158" s="142">
        <v>15</v>
      </c>
      <c r="AM158" s="142">
        <v>1</v>
      </c>
      <c r="AN158" s="142">
        <v>27</v>
      </c>
      <c r="AO158" s="143">
        <v>867</v>
      </c>
      <c r="AQ158" s="163" t="str">
        <f t="shared" si="17"/>
        <v>P20S2A38</v>
      </c>
      <c r="AR158" s="163"/>
      <c r="AS158" s="165">
        <v>20</v>
      </c>
      <c r="AT158" s="163">
        <v>2</v>
      </c>
      <c r="AU158" s="166">
        <v>38</v>
      </c>
      <c r="AV158" s="166">
        <v>345</v>
      </c>
    </row>
    <row r="159" spans="1:48">
      <c r="A159" s="30" t="str">
        <f t="shared" si="18"/>
        <v>P01S2A71</v>
      </c>
      <c r="B159" s="30"/>
      <c r="C159" s="30">
        <v>1</v>
      </c>
      <c r="D159" s="30">
        <v>2</v>
      </c>
      <c r="E159" s="30">
        <v>71</v>
      </c>
      <c r="F159" s="31">
        <v>12013</v>
      </c>
      <c r="H159" s="30" t="str">
        <f t="shared" si="19"/>
        <v>P20S1A35</v>
      </c>
      <c r="I159" s="30"/>
      <c r="J159" s="30">
        <v>20</v>
      </c>
      <c r="K159" s="30">
        <v>1</v>
      </c>
      <c r="L159" s="30">
        <v>35</v>
      </c>
      <c r="M159" s="31">
        <v>2237</v>
      </c>
      <c r="O159" s="30" t="str">
        <f t="shared" si="20"/>
        <v>P00SA00</v>
      </c>
      <c r="P159" s="30"/>
      <c r="Q159" s="30"/>
      <c r="R159" s="30"/>
      <c r="S159" s="30"/>
      <c r="T159" s="31"/>
      <c r="V159" s="30" t="str">
        <f t="shared" si="21"/>
        <v>P20S1A43</v>
      </c>
      <c r="W159" s="30">
        <v>2223</v>
      </c>
      <c r="X159" s="30">
        <v>20</v>
      </c>
      <c r="Y159" s="30">
        <v>1</v>
      </c>
      <c r="Z159" s="30">
        <v>43</v>
      </c>
      <c r="AA159" s="31">
        <v>9835</v>
      </c>
      <c r="AC159" s="144" t="str">
        <f t="shared" si="16"/>
        <v>P15S2A39</v>
      </c>
      <c r="AD159" s="144"/>
      <c r="AE159" s="144">
        <v>15</v>
      </c>
      <c r="AF159" s="144">
        <v>2</v>
      </c>
      <c r="AG159" s="144">
        <v>39</v>
      </c>
      <c r="AH159" s="143">
        <v>1071</v>
      </c>
      <c r="AJ159" s="142" t="str">
        <f t="shared" si="22"/>
        <v>P15S1A28</v>
      </c>
      <c r="AK159" s="142"/>
      <c r="AL159" s="142">
        <v>15</v>
      </c>
      <c r="AM159" s="142">
        <v>1</v>
      </c>
      <c r="AN159" s="142">
        <v>28</v>
      </c>
      <c r="AO159" s="143">
        <v>876</v>
      </c>
      <c r="AQ159" s="163" t="str">
        <f t="shared" si="17"/>
        <v>P20S2A39</v>
      </c>
      <c r="AR159" s="163"/>
      <c r="AS159" s="165">
        <v>20</v>
      </c>
      <c r="AT159" s="163">
        <v>2</v>
      </c>
      <c r="AU159" s="167">
        <v>39</v>
      </c>
      <c r="AV159" s="164">
        <v>358</v>
      </c>
    </row>
    <row r="160" spans="1:48">
      <c r="A160" s="30" t="str">
        <f t="shared" si="18"/>
        <v>P01S2A72</v>
      </c>
      <c r="B160" s="30"/>
      <c r="C160" s="30">
        <v>1</v>
      </c>
      <c r="D160" s="30">
        <v>2</v>
      </c>
      <c r="E160" s="30">
        <v>72</v>
      </c>
      <c r="F160" s="31">
        <v>12397</v>
      </c>
      <c r="H160" s="30" t="str">
        <f t="shared" si="19"/>
        <v>P20S1A36</v>
      </c>
      <c r="I160" s="30"/>
      <c r="J160" s="30">
        <v>20</v>
      </c>
      <c r="K160" s="30">
        <v>1</v>
      </c>
      <c r="L160" s="30">
        <v>36</v>
      </c>
      <c r="M160" s="31">
        <v>2290</v>
      </c>
      <c r="O160" s="30" t="str">
        <f t="shared" si="20"/>
        <v>P00SA00</v>
      </c>
      <c r="P160" s="30"/>
      <c r="Q160" s="30"/>
      <c r="R160" s="30"/>
      <c r="S160" s="30"/>
      <c r="T160" s="31"/>
      <c r="V160" s="30" t="str">
        <f t="shared" si="21"/>
        <v>P20S1A44</v>
      </c>
      <c r="W160" s="30">
        <v>2223</v>
      </c>
      <c r="X160" s="30">
        <v>20</v>
      </c>
      <c r="Y160" s="30">
        <v>1</v>
      </c>
      <c r="Z160" s="30">
        <v>44</v>
      </c>
      <c r="AA160" s="31">
        <v>9691</v>
      </c>
      <c r="AC160" s="144" t="str">
        <f t="shared" si="16"/>
        <v>P15S2A40</v>
      </c>
      <c r="AD160" s="144"/>
      <c r="AE160" s="144">
        <v>15</v>
      </c>
      <c r="AF160" s="144">
        <v>2</v>
      </c>
      <c r="AG160" s="144">
        <v>40</v>
      </c>
      <c r="AH160" s="143">
        <v>1073</v>
      </c>
      <c r="AJ160" s="142" t="str">
        <f t="shared" si="22"/>
        <v>P15S1A29</v>
      </c>
      <c r="AK160" s="142"/>
      <c r="AL160" s="142">
        <v>15</v>
      </c>
      <c r="AM160" s="142">
        <v>1</v>
      </c>
      <c r="AN160" s="142">
        <v>29</v>
      </c>
      <c r="AO160" s="143">
        <v>885</v>
      </c>
      <c r="AQ160" s="163" t="str">
        <f t="shared" si="17"/>
        <v>P20S2A40</v>
      </c>
      <c r="AR160" s="163"/>
      <c r="AS160" s="165">
        <v>20</v>
      </c>
      <c r="AT160" s="163">
        <v>2</v>
      </c>
      <c r="AU160" s="167">
        <v>40</v>
      </c>
      <c r="AV160" s="164">
        <v>372</v>
      </c>
    </row>
    <row r="161" spans="1:48">
      <c r="A161" s="30" t="str">
        <f t="shared" si="18"/>
        <v>P01S2A73</v>
      </c>
      <c r="B161" s="30"/>
      <c r="C161" s="30">
        <v>1</v>
      </c>
      <c r="D161" s="30">
        <v>2</v>
      </c>
      <c r="E161" s="30">
        <v>73</v>
      </c>
      <c r="F161" s="31">
        <v>12771</v>
      </c>
      <c r="H161" s="30" t="str">
        <f t="shared" si="19"/>
        <v>P20S1A37</v>
      </c>
      <c r="I161" s="30"/>
      <c r="J161" s="30">
        <v>20</v>
      </c>
      <c r="K161" s="30">
        <v>1</v>
      </c>
      <c r="L161" s="30">
        <v>37</v>
      </c>
      <c r="M161" s="31">
        <v>2347</v>
      </c>
      <c r="O161" s="30" t="str">
        <f t="shared" si="20"/>
        <v>P00SA00</v>
      </c>
      <c r="P161" s="30"/>
      <c r="Q161" s="30"/>
      <c r="R161" s="30"/>
      <c r="S161" s="30"/>
      <c r="T161" s="31"/>
      <c r="V161" s="30" t="str">
        <f t="shared" si="21"/>
        <v>P20S1A45</v>
      </c>
      <c r="W161" s="30">
        <v>2223</v>
      </c>
      <c r="X161" s="30">
        <v>20</v>
      </c>
      <c r="Y161" s="30">
        <v>1</v>
      </c>
      <c r="Z161" s="30">
        <v>45</v>
      </c>
      <c r="AA161" s="31">
        <v>9544</v>
      </c>
      <c r="AC161" s="144" t="str">
        <f t="shared" si="16"/>
        <v>P15S2A41</v>
      </c>
      <c r="AD161" s="144"/>
      <c r="AE161" s="144">
        <v>15</v>
      </c>
      <c r="AF161" s="144">
        <v>2</v>
      </c>
      <c r="AG161" s="144">
        <v>41</v>
      </c>
      <c r="AH161" s="143">
        <v>1076</v>
      </c>
      <c r="AJ161" s="142" t="str">
        <f t="shared" si="22"/>
        <v>P15S1A30</v>
      </c>
      <c r="AK161" s="142"/>
      <c r="AL161" s="142">
        <v>15</v>
      </c>
      <c r="AM161" s="142">
        <v>1</v>
      </c>
      <c r="AN161" s="142">
        <v>30</v>
      </c>
      <c r="AO161" s="143">
        <v>894</v>
      </c>
      <c r="AQ161" s="163" t="str">
        <f t="shared" si="17"/>
        <v>P20S2A41</v>
      </c>
      <c r="AR161" s="163"/>
      <c r="AS161" s="165">
        <v>20</v>
      </c>
      <c r="AT161" s="163">
        <v>2</v>
      </c>
      <c r="AU161" s="167">
        <v>41</v>
      </c>
      <c r="AV161" s="164">
        <v>384</v>
      </c>
    </row>
    <row r="162" spans="1:48">
      <c r="A162" s="30" t="str">
        <f t="shared" si="18"/>
        <v>P01S2A74</v>
      </c>
      <c r="B162" s="30"/>
      <c r="C162" s="30">
        <v>1</v>
      </c>
      <c r="D162" s="30">
        <v>2</v>
      </c>
      <c r="E162" s="30">
        <v>74</v>
      </c>
      <c r="F162" s="31">
        <v>13144</v>
      </c>
      <c r="H162" s="30" t="str">
        <f t="shared" si="19"/>
        <v>P20S1A38</v>
      </c>
      <c r="I162" s="30"/>
      <c r="J162" s="30">
        <v>20</v>
      </c>
      <c r="K162" s="30">
        <v>1</v>
      </c>
      <c r="L162" s="30">
        <v>38</v>
      </c>
      <c r="M162" s="31">
        <v>2407</v>
      </c>
      <c r="O162" s="30" t="str">
        <f t="shared" si="20"/>
        <v>P00SA00</v>
      </c>
      <c r="P162" s="30"/>
      <c r="Q162" s="30"/>
      <c r="R162" s="30"/>
      <c r="S162" s="30"/>
      <c r="T162" s="31"/>
      <c r="V162" s="30" t="str">
        <f t="shared" si="21"/>
        <v>P20S2A20</v>
      </c>
      <c r="W162" s="30">
        <v>2223</v>
      </c>
      <c r="X162" s="30">
        <v>20</v>
      </c>
      <c r="Y162" s="30">
        <v>2</v>
      </c>
      <c r="Z162" s="30">
        <v>20</v>
      </c>
      <c r="AA162" s="31">
        <v>8460</v>
      </c>
      <c r="AC162" s="144" t="str">
        <f t="shared" si="16"/>
        <v>P15S2A42</v>
      </c>
      <c r="AD162" s="144"/>
      <c r="AE162" s="144">
        <v>15</v>
      </c>
      <c r="AF162" s="144">
        <v>2</v>
      </c>
      <c r="AG162" s="144">
        <v>42</v>
      </c>
      <c r="AH162" s="143">
        <v>1077</v>
      </c>
      <c r="AJ162" s="142" t="str">
        <f t="shared" si="22"/>
        <v>P15S1A31</v>
      </c>
      <c r="AK162" s="142"/>
      <c r="AL162" s="142">
        <v>15</v>
      </c>
      <c r="AM162" s="142">
        <v>1</v>
      </c>
      <c r="AN162" s="142">
        <v>31</v>
      </c>
      <c r="AO162" s="143">
        <v>902</v>
      </c>
      <c r="AQ162" s="163" t="str">
        <f t="shared" ref="AQ162:AQ185" si="23">"P"&amp;REPT("0",2-LEN(AS162))&amp;AS162&amp;"S"&amp;AT162&amp;"A"&amp;REPT("0",2-LEN(AU162))&amp;AU162</f>
        <v>P20S2A42</v>
      </c>
      <c r="AR162" s="163"/>
      <c r="AS162" s="165">
        <v>20</v>
      </c>
      <c r="AT162" s="163">
        <v>2</v>
      </c>
      <c r="AU162" s="167">
        <v>42</v>
      </c>
      <c r="AV162" s="164">
        <v>398</v>
      </c>
    </row>
    <row r="163" spans="1:48">
      <c r="A163" s="30" t="str">
        <f t="shared" si="18"/>
        <v>P01S2A75</v>
      </c>
      <c r="B163" s="30"/>
      <c r="C163" s="30">
        <v>1</v>
      </c>
      <c r="D163" s="30">
        <v>2</v>
      </c>
      <c r="E163" s="30">
        <v>75</v>
      </c>
      <c r="F163" s="31">
        <v>13539</v>
      </c>
      <c r="H163" s="30" t="str">
        <f t="shared" si="19"/>
        <v>P20S1A39</v>
      </c>
      <c r="I163" s="30"/>
      <c r="J163" s="30">
        <v>20</v>
      </c>
      <c r="K163" s="30">
        <v>1</v>
      </c>
      <c r="L163" s="30">
        <v>39</v>
      </c>
      <c r="M163" s="31">
        <v>2471</v>
      </c>
      <c r="O163" s="30" t="str">
        <f t="shared" si="20"/>
        <v>P00SA00</v>
      </c>
      <c r="P163" s="30"/>
      <c r="Q163" s="30"/>
      <c r="R163" s="30"/>
      <c r="S163" s="30"/>
      <c r="T163" s="31"/>
      <c r="V163" s="30" t="str">
        <f t="shared" si="21"/>
        <v>P20S2A21</v>
      </c>
      <c r="W163" s="30">
        <v>2223</v>
      </c>
      <c r="X163" s="30">
        <v>20</v>
      </c>
      <c r="Y163" s="30">
        <v>2</v>
      </c>
      <c r="Z163" s="30">
        <v>21</v>
      </c>
      <c r="AA163" s="31">
        <v>8440</v>
      </c>
      <c r="AC163" s="144" t="str">
        <f t="shared" si="16"/>
        <v>P15S2A43</v>
      </c>
      <c r="AD163" s="144"/>
      <c r="AE163" s="144">
        <v>15</v>
      </c>
      <c r="AF163" s="144">
        <v>2</v>
      </c>
      <c r="AG163" s="144">
        <v>43</v>
      </c>
      <c r="AH163" s="143">
        <v>1081</v>
      </c>
      <c r="AJ163" s="142" t="str">
        <f t="shared" si="22"/>
        <v>P15S1A32</v>
      </c>
      <c r="AK163" s="142"/>
      <c r="AL163" s="142">
        <v>15</v>
      </c>
      <c r="AM163" s="142">
        <v>1</v>
      </c>
      <c r="AN163" s="142">
        <v>32</v>
      </c>
      <c r="AO163" s="143">
        <v>911</v>
      </c>
      <c r="AQ163" s="163" t="str">
        <f t="shared" si="23"/>
        <v>P20S2A43</v>
      </c>
      <c r="AR163" s="163"/>
      <c r="AS163" s="165">
        <v>20</v>
      </c>
      <c r="AT163" s="163">
        <v>2</v>
      </c>
      <c r="AU163" s="167">
        <v>43</v>
      </c>
      <c r="AV163" s="164">
        <v>413</v>
      </c>
    </row>
    <row r="164" spans="1:48">
      <c r="A164" s="30" t="str">
        <f t="shared" si="18"/>
        <v>P01S2A76</v>
      </c>
      <c r="B164" s="30"/>
      <c r="C164" s="30">
        <v>1</v>
      </c>
      <c r="D164" s="30">
        <v>2</v>
      </c>
      <c r="E164" s="30">
        <v>76</v>
      </c>
      <c r="F164" s="31">
        <v>13913</v>
      </c>
      <c r="H164" s="30" t="str">
        <f t="shared" si="19"/>
        <v>P20S1A40</v>
      </c>
      <c r="I164" s="30"/>
      <c r="J164" s="30">
        <v>20</v>
      </c>
      <c r="K164" s="30">
        <v>1</v>
      </c>
      <c r="L164" s="30">
        <v>40</v>
      </c>
      <c r="M164" s="31">
        <v>2538</v>
      </c>
      <c r="O164" s="30" t="str">
        <f t="shared" si="20"/>
        <v>P00SA00</v>
      </c>
      <c r="P164" s="30"/>
      <c r="Q164" s="30"/>
      <c r="R164" s="30"/>
      <c r="S164" s="30"/>
      <c r="T164" s="31"/>
      <c r="V164" s="30" t="str">
        <f t="shared" si="21"/>
        <v>P20S2A22</v>
      </c>
      <c r="W164" s="30">
        <v>2223</v>
      </c>
      <c r="X164" s="30">
        <v>20</v>
      </c>
      <c r="Y164" s="30">
        <v>2</v>
      </c>
      <c r="Z164" s="30">
        <v>22</v>
      </c>
      <c r="AA164" s="31">
        <v>8412</v>
      </c>
      <c r="AC164" s="144" t="str">
        <f t="shared" si="16"/>
        <v>P15S2A44</v>
      </c>
      <c r="AD164" s="144"/>
      <c r="AE164" s="144">
        <v>15</v>
      </c>
      <c r="AF164" s="144">
        <v>2</v>
      </c>
      <c r="AG164" s="144">
        <v>44</v>
      </c>
      <c r="AH164" s="143">
        <v>1084</v>
      </c>
      <c r="AJ164" s="142" t="str">
        <f t="shared" si="22"/>
        <v>P15S1A33</v>
      </c>
      <c r="AK164" s="142"/>
      <c r="AL164" s="142">
        <v>15</v>
      </c>
      <c r="AM164" s="142">
        <v>1</v>
      </c>
      <c r="AN164" s="142">
        <v>33</v>
      </c>
      <c r="AO164" s="143">
        <v>920</v>
      </c>
      <c r="AQ164" s="163" t="str">
        <f t="shared" si="23"/>
        <v>P20S2A44</v>
      </c>
      <c r="AR164" s="163"/>
      <c r="AS164" s="165">
        <v>20</v>
      </c>
      <c r="AT164" s="163">
        <v>2</v>
      </c>
      <c r="AU164" s="167">
        <v>44</v>
      </c>
      <c r="AV164" s="164">
        <v>431</v>
      </c>
    </row>
    <row r="165" spans="1:48">
      <c r="A165" s="30" t="str">
        <f t="shared" si="18"/>
        <v>P01S2A77</v>
      </c>
      <c r="B165" s="30"/>
      <c r="C165" s="30">
        <v>1</v>
      </c>
      <c r="D165" s="30">
        <v>2</v>
      </c>
      <c r="E165" s="30">
        <v>77</v>
      </c>
      <c r="F165" s="31">
        <v>14287</v>
      </c>
      <c r="H165" s="30" t="str">
        <f t="shared" si="19"/>
        <v>P20S1A41</v>
      </c>
      <c r="I165" s="30"/>
      <c r="J165" s="30">
        <v>20</v>
      </c>
      <c r="K165" s="30">
        <v>1</v>
      </c>
      <c r="L165" s="30">
        <v>41</v>
      </c>
      <c r="M165" s="31">
        <v>2614</v>
      </c>
      <c r="O165" s="30" t="str">
        <f t="shared" si="20"/>
        <v>P00SA00</v>
      </c>
      <c r="P165" s="30"/>
      <c r="Q165" s="30"/>
      <c r="R165" s="30"/>
      <c r="S165" s="30"/>
      <c r="T165" s="31"/>
      <c r="V165" s="30" t="str">
        <f t="shared" si="21"/>
        <v>P20S2A23</v>
      </c>
      <c r="W165" s="30">
        <v>2223</v>
      </c>
      <c r="X165" s="30">
        <v>20</v>
      </c>
      <c r="Y165" s="30">
        <v>2</v>
      </c>
      <c r="Z165" s="30">
        <v>23</v>
      </c>
      <c r="AA165" s="31">
        <v>8385</v>
      </c>
      <c r="AC165" s="144" t="str">
        <f t="shared" si="16"/>
        <v>P15S2A45</v>
      </c>
      <c r="AD165" s="144"/>
      <c r="AE165" s="144">
        <v>15</v>
      </c>
      <c r="AF165" s="144">
        <v>2</v>
      </c>
      <c r="AG165" s="144">
        <v>45</v>
      </c>
      <c r="AH165" s="143">
        <v>1087</v>
      </c>
      <c r="AJ165" s="142" t="str">
        <f t="shared" si="22"/>
        <v>P15S1A34</v>
      </c>
      <c r="AK165" s="142"/>
      <c r="AL165" s="142">
        <v>15</v>
      </c>
      <c r="AM165" s="142">
        <v>1</v>
      </c>
      <c r="AN165" s="142">
        <v>34</v>
      </c>
      <c r="AO165" s="143">
        <v>929</v>
      </c>
      <c r="AQ165" s="163" t="str">
        <f t="shared" si="23"/>
        <v>P20S2A45</v>
      </c>
      <c r="AR165" s="163"/>
      <c r="AS165" s="165">
        <v>20</v>
      </c>
      <c r="AT165" s="163">
        <v>2</v>
      </c>
      <c r="AU165" s="167">
        <v>45</v>
      </c>
      <c r="AV165" s="164">
        <v>451</v>
      </c>
    </row>
    <row r="166" spans="1:48">
      <c r="A166" s="30" t="str">
        <f t="shared" si="18"/>
        <v>P01S2A78</v>
      </c>
      <c r="B166" s="30"/>
      <c r="C166" s="30">
        <v>1</v>
      </c>
      <c r="D166" s="30">
        <v>2</v>
      </c>
      <c r="E166" s="30">
        <v>78</v>
      </c>
      <c r="F166" s="31">
        <v>14760</v>
      </c>
      <c r="H166" s="30" t="str">
        <f t="shared" si="19"/>
        <v>P20S1A42</v>
      </c>
      <c r="I166" s="30"/>
      <c r="J166" s="30">
        <v>20</v>
      </c>
      <c r="K166" s="30">
        <v>1</v>
      </c>
      <c r="L166" s="30">
        <v>42</v>
      </c>
      <c r="M166" s="31">
        <v>2695</v>
      </c>
      <c r="O166" s="30" t="str">
        <f t="shared" si="20"/>
        <v>P00SA00</v>
      </c>
      <c r="P166" s="30"/>
      <c r="Q166" s="30"/>
      <c r="R166" s="30"/>
      <c r="S166" s="30"/>
      <c r="T166" s="31"/>
      <c r="V166" s="30" t="str">
        <f t="shared" si="21"/>
        <v>P20S2A24</v>
      </c>
      <c r="W166" s="30">
        <v>2223</v>
      </c>
      <c r="X166" s="30">
        <v>20</v>
      </c>
      <c r="Y166" s="30">
        <v>2</v>
      </c>
      <c r="Z166" s="30">
        <v>24</v>
      </c>
      <c r="AA166" s="31">
        <v>8359</v>
      </c>
      <c r="AC166" s="144" t="str">
        <f t="shared" si="16"/>
        <v>P15S2A46</v>
      </c>
      <c r="AD166" s="144"/>
      <c r="AE166" s="144">
        <v>15</v>
      </c>
      <c r="AF166" s="144">
        <v>2</v>
      </c>
      <c r="AG166" s="144">
        <v>46</v>
      </c>
      <c r="AH166" s="143">
        <v>1090</v>
      </c>
      <c r="AJ166" s="142" t="str">
        <f t="shared" si="22"/>
        <v>P15S1A35</v>
      </c>
      <c r="AK166" s="142"/>
      <c r="AL166" s="142">
        <v>15</v>
      </c>
      <c r="AM166" s="142">
        <v>1</v>
      </c>
      <c r="AN166" s="142">
        <v>35</v>
      </c>
      <c r="AO166" s="143">
        <v>938</v>
      </c>
      <c r="AQ166" s="163" t="str">
        <f t="shared" si="23"/>
        <v>P20S2A46</v>
      </c>
      <c r="AR166" s="163"/>
      <c r="AS166" s="165">
        <v>20</v>
      </c>
      <c r="AT166" s="163">
        <v>2</v>
      </c>
      <c r="AU166" s="167">
        <v>46</v>
      </c>
      <c r="AV166" s="164">
        <v>471</v>
      </c>
    </row>
    <row r="167" spans="1:48">
      <c r="A167" s="30" t="str">
        <f t="shared" si="18"/>
        <v>P01S2A79</v>
      </c>
      <c r="B167" s="30"/>
      <c r="C167" s="30">
        <v>1</v>
      </c>
      <c r="D167" s="30">
        <v>2</v>
      </c>
      <c r="E167" s="30">
        <v>79</v>
      </c>
      <c r="F167" s="31">
        <v>15233</v>
      </c>
      <c r="H167" s="30" t="str">
        <f t="shared" si="19"/>
        <v>P20S1A43</v>
      </c>
      <c r="I167" s="30"/>
      <c r="J167" s="30">
        <v>20</v>
      </c>
      <c r="K167" s="30">
        <v>1</v>
      </c>
      <c r="L167" s="30">
        <v>43</v>
      </c>
      <c r="M167" s="31">
        <v>2781</v>
      </c>
      <c r="O167" s="30" t="str">
        <f t="shared" si="20"/>
        <v>P00SA00</v>
      </c>
      <c r="P167" s="30"/>
      <c r="Q167" s="30"/>
      <c r="R167" s="30"/>
      <c r="S167" s="30"/>
      <c r="T167" s="31"/>
      <c r="V167" s="30" t="str">
        <f t="shared" si="21"/>
        <v>P20S2A25</v>
      </c>
      <c r="W167" s="30">
        <v>2223</v>
      </c>
      <c r="X167" s="30">
        <v>20</v>
      </c>
      <c r="Y167" s="30">
        <v>2</v>
      </c>
      <c r="Z167" s="30">
        <v>25</v>
      </c>
      <c r="AA167" s="31">
        <v>8334</v>
      </c>
      <c r="AC167" s="144" t="str">
        <f t="shared" si="16"/>
        <v>P15S2A47</v>
      </c>
      <c r="AD167" s="144"/>
      <c r="AE167" s="144">
        <v>15</v>
      </c>
      <c r="AF167" s="144">
        <v>2</v>
      </c>
      <c r="AG167" s="144">
        <v>47</v>
      </c>
      <c r="AH167" s="143">
        <v>1093</v>
      </c>
      <c r="AJ167" s="142" t="str">
        <f t="shared" si="22"/>
        <v>P15S1A36</v>
      </c>
      <c r="AK167" s="142"/>
      <c r="AL167" s="142">
        <v>15</v>
      </c>
      <c r="AM167" s="142">
        <v>1</v>
      </c>
      <c r="AN167" s="142">
        <v>36</v>
      </c>
      <c r="AO167" s="143">
        <v>947</v>
      </c>
      <c r="AQ167" s="163" t="str">
        <f t="shared" si="23"/>
        <v>P20S2A47</v>
      </c>
      <c r="AR167" s="163"/>
      <c r="AS167" s="165">
        <v>20</v>
      </c>
      <c r="AT167" s="163">
        <v>2</v>
      </c>
      <c r="AU167" s="167">
        <v>47</v>
      </c>
      <c r="AV167" s="164">
        <v>493</v>
      </c>
    </row>
    <row r="168" spans="1:48">
      <c r="A168" s="30" t="str">
        <f t="shared" si="18"/>
        <v>P01S2A80</v>
      </c>
      <c r="B168" s="30"/>
      <c r="C168" s="30">
        <v>1</v>
      </c>
      <c r="D168" s="30">
        <v>2</v>
      </c>
      <c r="E168" s="30">
        <v>80</v>
      </c>
      <c r="F168" s="31">
        <v>16392</v>
      </c>
      <c r="H168" s="30" t="str">
        <f t="shared" si="19"/>
        <v>P20S1A44</v>
      </c>
      <c r="I168" s="30"/>
      <c r="J168" s="30">
        <v>20</v>
      </c>
      <c r="K168" s="30">
        <v>1</v>
      </c>
      <c r="L168" s="30">
        <v>44</v>
      </c>
      <c r="M168" s="31">
        <v>2872</v>
      </c>
      <c r="O168" s="30" t="str">
        <f t="shared" si="20"/>
        <v>P00SA00</v>
      </c>
      <c r="P168" s="30"/>
      <c r="Q168" s="30"/>
      <c r="R168" s="30"/>
      <c r="S168" s="30"/>
      <c r="T168" s="31"/>
      <c r="V168" s="30" t="str">
        <f t="shared" si="21"/>
        <v>P20S2A26</v>
      </c>
      <c r="W168" s="30">
        <v>2223</v>
      </c>
      <c r="X168" s="30">
        <v>20</v>
      </c>
      <c r="Y168" s="30">
        <v>2</v>
      </c>
      <c r="Z168" s="30">
        <v>26</v>
      </c>
      <c r="AA168" s="31">
        <v>8311</v>
      </c>
      <c r="AC168" s="144" t="str">
        <f t="shared" si="16"/>
        <v>P15S2A48</v>
      </c>
      <c r="AD168" s="144"/>
      <c r="AE168" s="144">
        <v>15</v>
      </c>
      <c r="AF168" s="144">
        <v>2</v>
      </c>
      <c r="AG168" s="144">
        <v>48</v>
      </c>
      <c r="AH168" s="143">
        <v>1096</v>
      </c>
      <c r="AJ168" s="142" t="str">
        <f t="shared" si="22"/>
        <v>P15S1A37</v>
      </c>
      <c r="AK168" s="142"/>
      <c r="AL168" s="142">
        <v>15</v>
      </c>
      <c r="AM168" s="142">
        <v>1</v>
      </c>
      <c r="AN168" s="142">
        <v>37</v>
      </c>
      <c r="AO168" s="143">
        <v>956</v>
      </c>
      <c r="AQ168" s="163" t="str">
        <f t="shared" si="23"/>
        <v>P20S2A48</v>
      </c>
      <c r="AR168" s="163"/>
      <c r="AS168" s="165">
        <v>20</v>
      </c>
      <c r="AT168" s="163">
        <v>2</v>
      </c>
      <c r="AU168" s="167">
        <v>48</v>
      </c>
      <c r="AV168" s="164">
        <v>518</v>
      </c>
    </row>
    <row r="169" spans="1:48">
      <c r="A169" s="30" t="str">
        <f t="shared" si="18"/>
        <v>P01S2A81</v>
      </c>
      <c r="B169" s="30"/>
      <c r="C169" s="30">
        <v>1</v>
      </c>
      <c r="D169" s="30">
        <v>2</v>
      </c>
      <c r="E169" s="30">
        <v>81</v>
      </c>
      <c r="F169" s="31">
        <v>16896</v>
      </c>
      <c r="H169" s="30" t="str">
        <f t="shared" si="19"/>
        <v>P20S1A45</v>
      </c>
      <c r="I169" s="30"/>
      <c r="J169" s="30">
        <v>20</v>
      </c>
      <c r="K169" s="30">
        <v>1</v>
      </c>
      <c r="L169" s="30">
        <v>45</v>
      </c>
      <c r="M169" s="31">
        <v>2968</v>
      </c>
      <c r="O169" s="30" t="str">
        <f t="shared" si="20"/>
        <v>P00SA00</v>
      </c>
      <c r="P169" s="30"/>
      <c r="Q169" s="30"/>
      <c r="R169" s="30"/>
      <c r="S169" s="30"/>
      <c r="T169" s="31"/>
      <c r="V169" s="30" t="str">
        <f t="shared" si="21"/>
        <v>P20S2A27</v>
      </c>
      <c r="W169" s="30">
        <v>2223</v>
      </c>
      <c r="X169" s="30">
        <v>20</v>
      </c>
      <c r="Y169" s="30">
        <v>2</v>
      </c>
      <c r="Z169" s="30">
        <v>27</v>
      </c>
      <c r="AA169" s="31">
        <v>8290</v>
      </c>
      <c r="AC169" s="144" t="str">
        <f t="shared" si="16"/>
        <v>P15S2A49</v>
      </c>
      <c r="AD169" s="144"/>
      <c r="AE169" s="144">
        <v>15</v>
      </c>
      <c r="AF169" s="144">
        <v>2</v>
      </c>
      <c r="AG169" s="144">
        <v>49</v>
      </c>
      <c r="AH169" s="143">
        <v>1100</v>
      </c>
      <c r="AJ169" s="142" t="str">
        <f t="shared" si="22"/>
        <v>P15S1A38</v>
      </c>
      <c r="AK169" s="142"/>
      <c r="AL169" s="142">
        <v>15</v>
      </c>
      <c r="AM169" s="142">
        <v>1</v>
      </c>
      <c r="AN169" s="142">
        <v>38</v>
      </c>
      <c r="AO169" s="143">
        <v>965</v>
      </c>
      <c r="AQ169" s="163" t="str">
        <f t="shared" si="23"/>
        <v>P20S2A49</v>
      </c>
      <c r="AR169" s="163"/>
      <c r="AS169" s="165">
        <v>20</v>
      </c>
      <c r="AT169" s="163">
        <v>2</v>
      </c>
      <c r="AU169" s="167">
        <v>49</v>
      </c>
      <c r="AV169" s="164">
        <v>546</v>
      </c>
    </row>
    <row r="170" spans="1:48">
      <c r="A170" s="30" t="str">
        <f t="shared" si="18"/>
        <v>P01S2A82</v>
      </c>
      <c r="B170" s="30"/>
      <c r="C170" s="30">
        <v>1</v>
      </c>
      <c r="D170" s="30">
        <v>2</v>
      </c>
      <c r="E170" s="30">
        <v>82</v>
      </c>
      <c r="F170" s="31">
        <v>17401</v>
      </c>
      <c r="H170" s="30" t="str">
        <f t="shared" si="19"/>
        <v>P20S1A46</v>
      </c>
      <c r="I170" s="30"/>
      <c r="J170" s="30">
        <v>20</v>
      </c>
      <c r="K170" s="30">
        <v>1</v>
      </c>
      <c r="L170" s="30">
        <v>46</v>
      </c>
      <c r="M170" s="31">
        <v>3068</v>
      </c>
      <c r="O170" s="30" t="str">
        <f t="shared" si="20"/>
        <v>P00SA00</v>
      </c>
      <c r="P170" s="30"/>
      <c r="Q170" s="30"/>
      <c r="R170" s="30"/>
      <c r="S170" s="30"/>
      <c r="T170" s="31"/>
      <c r="V170" s="30" t="str">
        <f t="shared" si="21"/>
        <v>P20S2A28</v>
      </c>
      <c r="W170" s="30">
        <v>2223</v>
      </c>
      <c r="X170" s="30">
        <v>20</v>
      </c>
      <c r="Y170" s="30">
        <v>2</v>
      </c>
      <c r="Z170" s="30">
        <v>28</v>
      </c>
      <c r="AA170" s="31">
        <v>8272</v>
      </c>
      <c r="AC170" s="144" t="str">
        <f t="shared" si="16"/>
        <v>P15S2A50</v>
      </c>
      <c r="AD170" s="144"/>
      <c r="AE170" s="144">
        <v>15</v>
      </c>
      <c r="AF170" s="144">
        <v>2</v>
      </c>
      <c r="AG170" s="144">
        <v>50</v>
      </c>
      <c r="AH170" s="143">
        <v>1102</v>
      </c>
      <c r="AJ170" s="142" t="str">
        <f t="shared" si="22"/>
        <v>P15S1A39</v>
      </c>
      <c r="AK170" s="142"/>
      <c r="AL170" s="142">
        <v>15</v>
      </c>
      <c r="AM170" s="142">
        <v>1</v>
      </c>
      <c r="AN170" s="142">
        <v>39</v>
      </c>
      <c r="AO170" s="143">
        <v>973</v>
      </c>
      <c r="AQ170" s="163" t="str">
        <f t="shared" si="23"/>
        <v>P20S2A50</v>
      </c>
      <c r="AR170" s="163"/>
      <c r="AS170" s="165">
        <v>20</v>
      </c>
      <c r="AT170" s="163">
        <v>2</v>
      </c>
      <c r="AU170" s="167">
        <v>50</v>
      </c>
      <c r="AV170" s="164">
        <v>577</v>
      </c>
    </row>
    <row r="171" spans="1:48">
      <c r="A171" s="30" t="str">
        <f t="shared" si="18"/>
        <v>P01S2A83</v>
      </c>
      <c r="B171" s="30"/>
      <c r="C171" s="30">
        <v>1</v>
      </c>
      <c r="D171" s="30">
        <v>2</v>
      </c>
      <c r="E171" s="30">
        <v>83</v>
      </c>
      <c r="F171" s="31">
        <v>18465</v>
      </c>
      <c r="H171" s="30" t="str">
        <f t="shared" si="19"/>
        <v>P20S1A47</v>
      </c>
      <c r="I171" s="30"/>
      <c r="J171" s="30">
        <v>20</v>
      </c>
      <c r="K171" s="30">
        <v>1</v>
      </c>
      <c r="L171" s="30">
        <v>47</v>
      </c>
      <c r="M171" s="31">
        <v>3174</v>
      </c>
      <c r="O171" s="30" t="str">
        <f t="shared" si="20"/>
        <v>P00SA00</v>
      </c>
      <c r="P171" s="30"/>
      <c r="Q171" s="30"/>
      <c r="R171" s="30"/>
      <c r="S171" s="30"/>
      <c r="T171" s="31"/>
      <c r="V171" s="30" t="str">
        <f t="shared" si="21"/>
        <v>P20S2A29</v>
      </c>
      <c r="W171" s="30">
        <v>2223</v>
      </c>
      <c r="X171" s="30">
        <v>20</v>
      </c>
      <c r="Y171" s="30">
        <v>2</v>
      </c>
      <c r="Z171" s="30">
        <v>29</v>
      </c>
      <c r="AA171" s="31">
        <v>8256</v>
      </c>
      <c r="AC171" s="144" t="str">
        <f t="shared" si="16"/>
        <v>P15S2A51</v>
      </c>
      <c r="AD171" s="144"/>
      <c r="AE171" s="144">
        <v>15</v>
      </c>
      <c r="AF171" s="144">
        <v>2</v>
      </c>
      <c r="AG171" s="144">
        <v>51</v>
      </c>
      <c r="AH171" s="143">
        <v>1105</v>
      </c>
      <c r="AJ171" s="142" t="str">
        <f t="shared" si="22"/>
        <v>P15S1A40</v>
      </c>
      <c r="AK171" s="142"/>
      <c r="AL171" s="142">
        <v>15</v>
      </c>
      <c r="AM171" s="142">
        <v>1</v>
      </c>
      <c r="AN171" s="142">
        <v>40</v>
      </c>
      <c r="AO171" s="143">
        <v>976</v>
      </c>
      <c r="AQ171" s="163" t="str">
        <f t="shared" si="23"/>
        <v>P20S2A51</v>
      </c>
      <c r="AR171" s="163"/>
      <c r="AS171" s="165">
        <v>20</v>
      </c>
      <c r="AT171" s="163">
        <v>2</v>
      </c>
      <c r="AU171" s="167">
        <v>51</v>
      </c>
      <c r="AV171" s="164">
        <v>611</v>
      </c>
    </row>
    <row r="172" spans="1:48">
      <c r="A172" s="30" t="str">
        <f t="shared" si="18"/>
        <v>P01S2A84</v>
      </c>
      <c r="B172" s="30"/>
      <c r="C172" s="30">
        <v>1</v>
      </c>
      <c r="D172" s="30">
        <v>2</v>
      </c>
      <c r="E172" s="30">
        <v>84</v>
      </c>
      <c r="F172" s="31">
        <v>19529</v>
      </c>
      <c r="H172" s="30" t="str">
        <f t="shared" si="19"/>
        <v>P20S1A48</v>
      </c>
      <c r="I172" s="30"/>
      <c r="J172" s="30">
        <v>20</v>
      </c>
      <c r="K172" s="30">
        <v>1</v>
      </c>
      <c r="L172" s="30">
        <v>48</v>
      </c>
      <c r="M172" s="31">
        <v>3282</v>
      </c>
      <c r="O172" s="30" t="str">
        <f t="shared" si="20"/>
        <v>P00SA00</v>
      </c>
      <c r="P172" s="30"/>
      <c r="Q172" s="30"/>
      <c r="R172" s="30"/>
      <c r="S172" s="30"/>
      <c r="T172" s="31"/>
      <c r="V172" s="30" t="str">
        <f t="shared" si="21"/>
        <v>P20S2A30</v>
      </c>
      <c r="W172" s="30">
        <v>2223</v>
      </c>
      <c r="X172" s="30">
        <v>20</v>
      </c>
      <c r="Y172" s="30">
        <v>2</v>
      </c>
      <c r="Z172" s="30">
        <v>30</v>
      </c>
      <c r="AA172" s="31">
        <v>8243</v>
      </c>
      <c r="AC172" s="144" t="str">
        <f t="shared" si="16"/>
        <v>P15S2A52</v>
      </c>
      <c r="AD172" s="144"/>
      <c r="AE172" s="144">
        <v>15</v>
      </c>
      <c r="AF172" s="144">
        <v>2</v>
      </c>
      <c r="AG172" s="144">
        <v>52</v>
      </c>
      <c r="AH172" s="143">
        <v>1108</v>
      </c>
      <c r="AJ172" s="142" t="str">
        <f t="shared" si="22"/>
        <v>P15S1A41</v>
      </c>
      <c r="AK172" s="142"/>
      <c r="AL172" s="142">
        <v>15</v>
      </c>
      <c r="AM172" s="142">
        <v>1</v>
      </c>
      <c r="AN172" s="142">
        <v>41</v>
      </c>
      <c r="AO172" s="143">
        <v>977</v>
      </c>
      <c r="AQ172" s="163" t="str">
        <f t="shared" si="23"/>
        <v>P20S2A52</v>
      </c>
      <c r="AR172" s="163"/>
      <c r="AS172" s="165">
        <v>20</v>
      </c>
      <c r="AT172" s="163">
        <v>2</v>
      </c>
      <c r="AU172" s="167">
        <v>52</v>
      </c>
      <c r="AV172" s="164">
        <v>648</v>
      </c>
    </row>
    <row r="173" spans="1:48">
      <c r="A173" s="30" t="str">
        <f t="shared" si="18"/>
        <v>P01S2A85</v>
      </c>
      <c r="B173" s="30"/>
      <c r="C173" s="30">
        <v>1</v>
      </c>
      <c r="D173" s="30">
        <v>2</v>
      </c>
      <c r="E173" s="30">
        <v>85</v>
      </c>
      <c r="F173" s="31">
        <v>22398</v>
      </c>
      <c r="H173" s="30" t="str">
        <f t="shared" si="19"/>
        <v>P20S1A49</v>
      </c>
      <c r="I173" s="30"/>
      <c r="J173" s="30">
        <v>20</v>
      </c>
      <c r="K173" s="30">
        <v>1</v>
      </c>
      <c r="L173" s="30">
        <v>49</v>
      </c>
      <c r="M173" s="31">
        <v>3393</v>
      </c>
      <c r="O173" s="30" t="str">
        <f t="shared" si="20"/>
        <v>P00SA00</v>
      </c>
      <c r="P173" s="30"/>
      <c r="Q173" s="30"/>
      <c r="R173" s="30"/>
      <c r="S173" s="30"/>
      <c r="T173" s="31"/>
      <c r="V173" s="30" t="str">
        <f t="shared" si="21"/>
        <v>P20S2A31</v>
      </c>
      <c r="W173" s="30">
        <v>2223</v>
      </c>
      <c r="X173" s="30">
        <v>20</v>
      </c>
      <c r="Y173" s="30">
        <v>2</v>
      </c>
      <c r="Z173" s="30">
        <v>31</v>
      </c>
      <c r="AA173" s="31">
        <v>8233</v>
      </c>
      <c r="AC173" s="144" t="str">
        <f t="shared" si="16"/>
        <v>P15S2A53</v>
      </c>
      <c r="AD173" s="144"/>
      <c r="AE173" s="144">
        <v>15</v>
      </c>
      <c r="AF173" s="144">
        <v>2</v>
      </c>
      <c r="AG173" s="144">
        <v>53</v>
      </c>
      <c r="AH173" s="143">
        <v>1111</v>
      </c>
      <c r="AJ173" s="142" t="str">
        <f t="shared" si="22"/>
        <v>P15S1A42</v>
      </c>
      <c r="AK173" s="142"/>
      <c r="AL173" s="142">
        <v>15</v>
      </c>
      <c r="AM173" s="142">
        <v>1</v>
      </c>
      <c r="AN173" s="142">
        <v>42</v>
      </c>
      <c r="AO173" s="143">
        <v>981</v>
      </c>
      <c r="AQ173" s="163" t="str">
        <f t="shared" si="23"/>
        <v>P20S2A53</v>
      </c>
      <c r="AR173" s="163"/>
      <c r="AS173" s="165">
        <v>20</v>
      </c>
      <c r="AT173" s="163">
        <v>2</v>
      </c>
      <c r="AU173" s="167">
        <v>53</v>
      </c>
      <c r="AV173" s="164">
        <v>688</v>
      </c>
    </row>
    <row r="174" spans="1:48">
      <c r="H174" s="30" t="str">
        <f t="shared" si="19"/>
        <v>P20S1A50</v>
      </c>
      <c r="I174" s="30"/>
      <c r="J174" s="30">
        <v>20</v>
      </c>
      <c r="K174" s="30">
        <v>1</v>
      </c>
      <c r="L174" s="30">
        <v>50</v>
      </c>
      <c r="M174" s="31">
        <v>3507</v>
      </c>
      <c r="O174" s="30" t="str">
        <f t="shared" si="20"/>
        <v>P00SA00</v>
      </c>
      <c r="P174" s="30"/>
      <c r="Q174" s="30"/>
      <c r="R174" s="30"/>
      <c r="S174" s="30"/>
      <c r="T174" s="31"/>
      <c r="V174" s="30" t="str">
        <f t="shared" si="21"/>
        <v>P20S2A32</v>
      </c>
      <c r="W174" s="30">
        <v>2223</v>
      </c>
      <c r="X174" s="30">
        <v>20</v>
      </c>
      <c r="Y174" s="30">
        <v>2</v>
      </c>
      <c r="Z174" s="30">
        <v>32</v>
      </c>
      <c r="AA174" s="31">
        <v>8226</v>
      </c>
      <c r="AC174" s="144" t="str">
        <f t="shared" si="16"/>
        <v>P15S2A54</v>
      </c>
      <c r="AD174" s="144"/>
      <c r="AE174" s="144">
        <v>15</v>
      </c>
      <c r="AF174" s="144">
        <v>2</v>
      </c>
      <c r="AG174" s="144">
        <v>54</v>
      </c>
      <c r="AH174" s="143">
        <v>1115</v>
      </c>
      <c r="AJ174" s="142" t="str">
        <f t="shared" si="22"/>
        <v>P15S1A43</v>
      </c>
      <c r="AK174" s="142"/>
      <c r="AL174" s="142">
        <v>15</v>
      </c>
      <c r="AM174" s="142">
        <v>1</v>
      </c>
      <c r="AN174" s="142">
        <v>43</v>
      </c>
      <c r="AO174" s="143">
        <v>984</v>
      </c>
      <c r="AQ174" s="163" t="str">
        <f t="shared" si="23"/>
        <v>P20S2A54</v>
      </c>
      <c r="AR174" s="163"/>
      <c r="AS174" s="165">
        <v>20</v>
      </c>
      <c r="AT174" s="163">
        <v>2</v>
      </c>
      <c r="AU174" s="167">
        <v>54</v>
      </c>
      <c r="AV174" s="164">
        <v>733</v>
      </c>
    </row>
    <row r="175" spans="1:48">
      <c r="H175" s="30" t="str">
        <f t="shared" si="19"/>
        <v>P20S1A51</v>
      </c>
      <c r="I175" s="30"/>
      <c r="J175" s="30">
        <v>20</v>
      </c>
      <c r="K175" s="30">
        <v>1</v>
      </c>
      <c r="L175" s="30">
        <v>51</v>
      </c>
      <c r="M175" s="31">
        <v>3632</v>
      </c>
      <c r="O175" s="30" t="str">
        <f t="shared" si="20"/>
        <v>P00SA00</v>
      </c>
      <c r="P175" s="30"/>
      <c r="Q175" s="30"/>
      <c r="R175" s="30"/>
      <c r="S175" s="30"/>
      <c r="T175" s="31"/>
      <c r="V175" s="30" t="str">
        <f t="shared" si="21"/>
        <v>P20S2A33</v>
      </c>
      <c r="W175" s="30">
        <v>2223</v>
      </c>
      <c r="X175" s="30">
        <v>20</v>
      </c>
      <c r="Y175" s="30">
        <v>2</v>
      </c>
      <c r="Z175" s="30">
        <v>33</v>
      </c>
      <c r="AA175" s="31">
        <v>8223</v>
      </c>
      <c r="AC175" s="144" t="str">
        <f t="shared" si="16"/>
        <v>P15S2A55</v>
      </c>
      <c r="AD175" s="144"/>
      <c r="AE175" s="144">
        <v>15</v>
      </c>
      <c r="AF175" s="144">
        <v>2</v>
      </c>
      <c r="AG175" s="144">
        <v>55</v>
      </c>
      <c r="AH175" s="143">
        <v>1118</v>
      </c>
      <c r="AJ175" s="142" t="str">
        <f t="shared" si="22"/>
        <v>P15S1A44</v>
      </c>
      <c r="AK175" s="142"/>
      <c r="AL175" s="142">
        <v>15</v>
      </c>
      <c r="AM175" s="142">
        <v>1</v>
      </c>
      <c r="AN175" s="142">
        <v>44</v>
      </c>
      <c r="AO175" s="143">
        <v>987</v>
      </c>
      <c r="AQ175" s="163" t="str">
        <f t="shared" si="23"/>
        <v>P20S2A55</v>
      </c>
      <c r="AR175" s="163"/>
      <c r="AS175" s="165">
        <v>20</v>
      </c>
      <c r="AT175" s="163">
        <v>2</v>
      </c>
      <c r="AU175" s="167">
        <v>55</v>
      </c>
      <c r="AV175" s="164">
        <v>783</v>
      </c>
    </row>
    <row r="176" spans="1:48">
      <c r="H176" s="30" t="str">
        <f t="shared" si="19"/>
        <v>P20S1A52</v>
      </c>
      <c r="I176" s="30"/>
      <c r="J176" s="30">
        <v>20</v>
      </c>
      <c r="K176" s="30">
        <v>1</v>
      </c>
      <c r="L176" s="30">
        <v>52</v>
      </c>
      <c r="M176" s="31">
        <v>3769</v>
      </c>
      <c r="O176" s="30" t="str">
        <f t="shared" si="20"/>
        <v>P00SA00</v>
      </c>
      <c r="P176" s="30"/>
      <c r="Q176" s="30"/>
      <c r="R176" s="30"/>
      <c r="S176" s="30"/>
      <c r="T176" s="31"/>
      <c r="V176" s="30" t="str">
        <f t="shared" si="21"/>
        <v>P20S2A34</v>
      </c>
      <c r="W176" s="30">
        <v>2223</v>
      </c>
      <c r="X176" s="30">
        <v>20</v>
      </c>
      <c r="Y176" s="30">
        <v>2</v>
      </c>
      <c r="Z176" s="30">
        <v>34</v>
      </c>
      <c r="AA176" s="31">
        <v>8220</v>
      </c>
      <c r="AC176" s="144" t="str">
        <f t="shared" si="16"/>
        <v>P15S2A56</v>
      </c>
      <c r="AD176" s="144"/>
      <c r="AE176" s="144">
        <v>15</v>
      </c>
      <c r="AF176" s="144">
        <v>2</v>
      </c>
      <c r="AG176" s="144">
        <v>56</v>
      </c>
      <c r="AH176" s="143">
        <v>1120</v>
      </c>
      <c r="AJ176" s="142" t="str">
        <f t="shared" si="22"/>
        <v>P15S1A45</v>
      </c>
      <c r="AK176" s="142"/>
      <c r="AL176" s="142">
        <v>15</v>
      </c>
      <c r="AM176" s="142">
        <v>1</v>
      </c>
      <c r="AN176" s="142">
        <v>45</v>
      </c>
      <c r="AO176" s="143">
        <v>989</v>
      </c>
      <c r="AQ176" s="163" t="str">
        <f t="shared" si="23"/>
        <v>P20S2A56</v>
      </c>
      <c r="AR176" s="163"/>
      <c r="AS176" s="165">
        <v>20</v>
      </c>
      <c r="AT176" s="163">
        <v>2</v>
      </c>
      <c r="AU176" s="167">
        <v>56</v>
      </c>
      <c r="AV176" s="164">
        <v>839</v>
      </c>
    </row>
    <row r="177" spans="8:48">
      <c r="H177" s="30" t="str">
        <f t="shared" si="19"/>
        <v>P20S1A53</v>
      </c>
      <c r="I177" s="30"/>
      <c r="J177" s="30">
        <v>20</v>
      </c>
      <c r="K177" s="30">
        <v>1</v>
      </c>
      <c r="L177" s="30">
        <v>53</v>
      </c>
      <c r="M177" s="31">
        <v>3919</v>
      </c>
      <c r="O177" s="30" t="str">
        <f t="shared" si="20"/>
        <v>P00SA00</v>
      </c>
      <c r="P177" s="30"/>
      <c r="Q177" s="30"/>
      <c r="R177" s="30"/>
      <c r="S177" s="30"/>
      <c r="T177" s="31"/>
      <c r="V177" s="30" t="str">
        <f t="shared" si="21"/>
        <v>P20S2A35</v>
      </c>
      <c r="W177" s="30">
        <v>2223</v>
      </c>
      <c r="X177" s="30">
        <v>20</v>
      </c>
      <c r="Y177" s="30">
        <v>2</v>
      </c>
      <c r="Z177" s="30">
        <v>35</v>
      </c>
      <c r="AA177" s="31">
        <v>8213</v>
      </c>
      <c r="AC177" s="144" t="str">
        <f t="shared" si="16"/>
        <v>P15S2A57</v>
      </c>
      <c r="AD177" s="144"/>
      <c r="AE177" s="144">
        <v>15</v>
      </c>
      <c r="AF177" s="144">
        <v>2</v>
      </c>
      <c r="AG177" s="144">
        <v>57</v>
      </c>
      <c r="AH177" s="143">
        <v>1123</v>
      </c>
      <c r="AJ177" s="142" t="str">
        <f t="shared" si="22"/>
        <v>P15S1A46</v>
      </c>
      <c r="AK177" s="142"/>
      <c r="AL177" s="142">
        <v>15</v>
      </c>
      <c r="AM177" s="142">
        <v>1</v>
      </c>
      <c r="AN177" s="142">
        <v>46</v>
      </c>
      <c r="AO177" s="143">
        <v>992</v>
      </c>
      <c r="AQ177" s="163" t="str">
        <f t="shared" si="23"/>
        <v>P20S2A57</v>
      </c>
      <c r="AR177" s="163"/>
      <c r="AS177" s="165">
        <v>20</v>
      </c>
      <c r="AT177" s="163">
        <v>2</v>
      </c>
      <c r="AU177" s="167">
        <v>57</v>
      </c>
      <c r="AV177" s="164">
        <v>899</v>
      </c>
    </row>
    <row r="178" spans="8:48">
      <c r="H178" s="30" t="str">
        <f t="shared" si="19"/>
        <v>P20S1A54</v>
      </c>
      <c r="I178" s="30"/>
      <c r="J178" s="30">
        <v>20</v>
      </c>
      <c r="K178" s="30">
        <v>1</v>
      </c>
      <c r="L178" s="30">
        <v>54</v>
      </c>
      <c r="M178" s="31">
        <v>4083</v>
      </c>
      <c r="O178" s="30" t="str">
        <f t="shared" si="20"/>
        <v>P00SA00</v>
      </c>
      <c r="P178" s="30"/>
      <c r="Q178" s="30"/>
      <c r="R178" s="30"/>
      <c r="S178" s="30"/>
      <c r="T178" s="31"/>
      <c r="V178" s="30" t="str">
        <f t="shared" si="21"/>
        <v>P20S2A36</v>
      </c>
      <c r="W178" s="30">
        <v>2223</v>
      </c>
      <c r="X178" s="30">
        <v>20</v>
      </c>
      <c r="Y178" s="30">
        <v>2</v>
      </c>
      <c r="Z178" s="30">
        <v>36</v>
      </c>
      <c r="AA178" s="31">
        <v>8203</v>
      </c>
      <c r="AC178" s="144" t="str">
        <f t="shared" si="16"/>
        <v>P15S2A58</v>
      </c>
      <c r="AD178" s="144"/>
      <c r="AE178" s="144">
        <v>15</v>
      </c>
      <c r="AF178" s="144">
        <v>2</v>
      </c>
      <c r="AG178" s="144">
        <v>58</v>
      </c>
      <c r="AH178" s="143">
        <v>1126</v>
      </c>
      <c r="AJ178" s="142" t="str">
        <f t="shared" si="22"/>
        <v>P15S1A47</v>
      </c>
      <c r="AK178" s="142"/>
      <c r="AL178" s="142">
        <v>15</v>
      </c>
      <c r="AM178" s="142">
        <v>1</v>
      </c>
      <c r="AN178" s="142">
        <v>47</v>
      </c>
      <c r="AO178" s="143">
        <v>995</v>
      </c>
      <c r="AQ178" s="163" t="str">
        <f t="shared" si="23"/>
        <v>P20S2A58</v>
      </c>
      <c r="AR178" s="163"/>
      <c r="AS178" s="165">
        <v>20</v>
      </c>
      <c r="AT178" s="163">
        <v>2</v>
      </c>
      <c r="AU178" s="167">
        <v>58</v>
      </c>
      <c r="AV178" s="164">
        <v>965</v>
      </c>
    </row>
    <row r="179" spans="8:48">
      <c r="H179" s="30" t="str">
        <f t="shared" si="19"/>
        <v>P20S1A55</v>
      </c>
      <c r="I179" s="30"/>
      <c r="J179" s="30">
        <v>20</v>
      </c>
      <c r="K179" s="30">
        <v>1</v>
      </c>
      <c r="L179" s="30">
        <v>55</v>
      </c>
      <c r="M179" s="31">
        <v>4262</v>
      </c>
      <c r="O179" s="30" t="str">
        <f t="shared" si="20"/>
        <v>P00SA00</v>
      </c>
      <c r="P179" s="30"/>
      <c r="Q179" s="30"/>
      <c r="R179" s="30"/>
      <c r="S179" s="30"/>
      <c r="T179" s="31"/>
      <c r="V179" s="30" t="str">
        <f t="shared" si="21"/>
        <v>P20S2A37</v>
      </c>
      <c r="W179" s="30">
        <v>2223</v>
      </c>
      <c r="X179" s="30">
        <v>20</v>
      </c>
      <c r="Y179" s="30">
        <v>2</v>
      </c>
      <c r="Z179" s="30">
        <v>37</v>
      </c>
      <c r="AA179" s="31">
        <v>8189.9999999999991</v>
      </c>
      <c r="AC179" s="144" t="str">
        <f t="shared" si="16"/>
        <v>P15S2A59</v>
      </c>
      <c r="AD179" s="144"/>
      <c r="AE179" s="144">
        <v>15</v>
      </c>
      <c r="AF179" s="144">
        <v>2</v>
      </c>
      <c r="AG179" s="144">
        <v>59</v>
      </c>
      <c r="AH179" s="143">
        <v>1129</v>
      </c>
      <c r="AJ179" s="142" t="str">
        <f t="shared" si="22"/>
        <v>P15S1A48</v>
      </c>
      <c r="AK179" s="142"/>
      <c r="AL179" s="142">
        <v>15</v>
      </c>
      <c r="AM179" s="142">
        <v>1</v>
      </c>
      <c r="AN179" s="142">
        <v>48</v>
      </c>
      <c r="AO179" s="143">
        <v>998</v>
      </c>
      <c r="AQ179" s="163" t="str">
        <f t="shared" si="23"/>
        <v>P20S2A59</v>
      </c>
      <c r="AR179" s="163"/>
      <c r="AS179" s="165">
        <v>20</v>
      </c>
      <c r="AT179" s="163">
        <v>2</v>
      </c>
      <c r="AU179" s="167">
        <v>59</v>
      </c>
      <c r="AV179" s="164">
        <v>1036</v>
      </c>
    </row>
    <row r="180" spans="8:48">
      <c r="H180" s="30" t="str">
        <f t="shared" si="19"/>
        <v>P20S1A56</v>
      </c>
      <c r="I180" s="30"/>
      <c r="J180" s="30">
        <v>20</v>
      </c>
      <c r="K180" s="30">
        <v>1</v>
      </c>
      <c r="L180" s="30">
        <v>56</v>
      </c>
      <c r="M180" s="31">
        <v>4457</v>
      </c>
      <c r="O180" s="30" t="str">
        <f t="shared" si="20"/>
        <v>P00SA00</v>
      </c>
      <c r="P180" s="30"/>
      <c r="Q180" s="30"/>
      <c r="R180" s="30"/>
      <c r="S180" s="30"/>
      <c r="T180" s="31"/>
      <c r="V180" s="30" t="str">
        <f t="shared" si="21"/>
        <v>P20S2A38</v>
      </c>
      <c r="W180" s="30">
        <v>2223</v>
      </c>
      <c r="X180" s="30">
        <v>20</v>
      </c>
      <c r="Y180" s="30">
        <v>2</v>
      </c>
      <c r="Z180" s="30">
        <v>38</v>
      </c>
      <c r="AA180" s="31">
        <v>8174</v>
      </c>
      <c r="AC180" s="144" t="str">
        <f t="shared" si="16"/>
        <v>P15S2A60</v>
      </c>
      <c r="AD180" s="144"/>
      <c r="AE180" s="144">
        <v>15</v>
      </c>
      <c r="AF180" s="144">
        <v>2</v>
      </c>
      <c r="AG180" s="144">
        <v>60</v>
      </c>
      <c r="AH180" s="143">
        <v>1131</v>
      </c>
      <c r="AJ180" s="142" t="str">
        <f t="shared" si="22"/>
        <v>P15S1A49</v>
      </c>
      <c r="AK180" s="142"/>
      <c r="AL180" s="142">
        <v>15</v>
      </c>
      <c r="AM180" s="142">
        <v>1</v>
      </c>
      <c r="AN180" s="142">
        <v>49</v>
      </c>
      <c r="AO180" s="143">
        <v>999</v>
      </c>
      <c r="AQ180" s="163" t="str">
        <f t="shared" si="23"/>
        <v>P20S2A60</v>
      </c>
      <c r="AR180" s="163"/>
      <c r="AS180" s="165">
        <v>20</v>
      </c>
      <c r="AT180" s="163">
        <v>2</v>
      </c>
      <c r="AU180" s="167">
        <v>60</v>
      </c>
      <c r="AV180" s="164">
        <v>1114</v>
      </c>
    </row>
    <row r="181" spans="8:48">
      <c r="H181" s="30" t="str">
        <f t="shared" si="19"/>
        <v>P20S1A57</v>
      </c>
      <c r="I181" s="30"/>
      <c r="J181" s="30">
        <v>20</v>
      </c>
      <c r="K181" s="30">
        <v>1</v>
      </c>
      <c r="L181" s="30">
        <v>57</v>
      </c>
      <c r="M181" s="31">
        <v>4670</v>
      </c>
      <c r="O181" s="30" t="str">
        <f t="shared" si="20"/>
        <v>P00SA00</v>
      </c>
      <c r="P181" s="30"/>
      <c r="Q181" s="30"/>
      <c r="R181" s="30"/>
      <c r="S181" s="30"/>
      <c r="T181" s="31"/>
      <c r="V181" s="30" t="str">
        <f t="shared" si="21"/>
        <v>P20S2A39</v>
      </c>
      <c r="W181" s="30">
        <v>2223</v>
      </c>
      <c r="X181" s="30">
        <v>20</v>
      </c>
      <c r="Y181" s="30">
        <v>2</v>
      </c>
      <c r="Z181" s="30">
        <v>39</v>
      </c>
      <c r="AA181" s="31">
        <v>8156</v>
      </c>
      <c r="AC181" s="144" t="str">
        <f t="shared" si="16"/>
        <v>P15S2A61</v>
      </c>
      <c r="AD181" s="144"/>
      <c r="AE181" s="144">
        <v>15</v>
      </c>
      <c r="AF181" s="144">
        <v>2</v>
      </c>
      <c r="AG181" s="144">
        <v>61</v>
      </c>
      <c r="AH181" s="143">
        <v>1134</v>
      </c>
      <c r="AJ181" s="142" t="str">
        <f t="shared" si="22"/>
        <v>P15S1A50</v>
      </c>
      <c r="AK181" s="142"/>
      <c r="AL181" s="142">
        <v>15</v>
      </c>
      <c r="AM181" s="142">
        <v>1</v>
      </c>
      <c r="AN181" s="142">
        <v>50</v>
      </c>
      <c r="AO181" s="143">
        <v>1002</v>
      </c>
      <c r="AQ181" s="163" t="str">
        <f t="shared" si="23"/>
        <v>P20S2A61</v>
      </c>
      <c r="AR181" s="163"/>
      <c r="AS181" s="165">
        <v>20</v>
      </c>
      <c r="AT181" s="163">
        <v>2</v>
      </c>
      <c r="AU181" s="167">
        <v>61</v>
      </c>
      <c r="AV181" s="164">
        <v>1203</v>
      </c>
    </row>
    <row r="182" spans="8:48">
      <c r="H182" s="30" t="str">
        <f t="shared" si="19"/>
        <v>P20S1A58</v>
      </c>
      <c r="I182" s="30"/>
      <c r="J182" s="30">
        <v>20</v>
      </c>
      <c r="K182" s="30">
        <v>1</v>
      </c>
      <c r="L182" s="30">
        <v>58</v>
      </c>
      <c r="M182" s="31">
        <v>4903</v>
      </c>
      <c r="O182" s="30" t="str">
        <f t="shared" si="20"/>
        <v>P00SA00</v>
      </c>
      <c r="P182" s="30"/>
      <c r="Q182" s="30"/>
      <c r="R182" s="30"/>
      <c r="S182" s="30"/>
      <c r="T182" s="31"/>
      <c r="V182" s="30" t="str">
        <f t="shared" si="21"/>
        <v>P20S2A40</v>
      </c>
      <c r="W182" s="30">
        <v>2223</v>
      </c>
      <c r="X182" s="30">
        <v>20</v>
      </c>
      <c r="Y182" s="30">
        <v>2</v>
      </c>
      <c r="Z182" s="30">
        <v>40</v>
      </c>
      <c r="AA182" s="31">
        <v>8135</v>
      </c>
      <c r="AC182" s="144" t="str">
        <f t="shared" si="16"/>
        <v>P15S2A62</v>
      </c>
      <c r="AD182" s="144"/>
      <c r="AE182" s="144">
        <v>15</v>
      </c>
      <c r="AF182" s="144">
        <v>2</v>
      </c>
      <c r="AG182" s="144">
        <v>62</v>
      </c>
      <c r="AH182" s="143">
        <v>1136</v>
      </c>
      <c r="AJ182" s="142" t="str">
        <f t="shared" si="22"/>
        <v>P15S1A51</v>
      </c>
      <c r="AK182" s="142"/>
      <c r="AL182" s="142">
        <v>15</v>
      </c>
      <c r="AM182" s="142">
        <v>1</v>
      </c>
      <c r="AN182" s="142">
        <v>51</v>
      </c>
      <c r="AO182" s="143">
        <v>1005</v>
      </c>
      <c r="AQ182" s="163" t="str">
        <f t="shared" si="23"/>
        <v>P20S2A62</v>
      </c>
      <c r="AR182" s="163"/>
      <c r="AS182" s="165">
        <v>20</v>
      </c>
      <c r="AT182" s="163">
        <v>2</v>
      </c>
      <c r="AU182" s="167">
        <v>62</v>
      </c>
      <c r="AV182" s="164">
        <v>1299</v>
      </c>
    </row>
    <row r="183" spans="8:48">
      <c r="H183" s="30" t="str">
        <f t="shared" si="19"/>
        <v>P20S1A59</v>
      </c>
      <c r="I183" s="30"/>
      <c r="J183" s="30">
        <v>20</v>
      </c>
      <c r="K183" s="30">
        <v>1</v>
      </c>
      <c r="L183" s="30">
        <v>59</v>
      </c>
      <c r="M183" s="31">
        <v>5157</v>
      </c>
      <c r="O183" s="30" t="str">
        <f t="shared" si="20"/>
        <v>P00SA00</v>
      </c>
      <c r="P183" s="30"/>
      <c r="Q183" s="30"/>
      <c r="R183" s="30"/>
      <c r="S183" s="30"/>
      <c r="T183" s="31"/>
      <c r="V183" s="30" t="str">
        <f t="shared" si="21"/>
        <v>P20S2A41</v>
      </c>
      <c r="W183" s="30">
        <v>2223</v>
      </c>
      <c r="X183" s="30">
        <v>20</v>
      </c>
      <c r="Y183" s="30">
        <v>2</v>
      </c>
      <c r="Z183" s="30">
        <v>41</v>
      </c>
      <c r="AA183" s="31">
        <v>8112</v>
      </c>
      <c r="AC183" s="144" t="str">
        <f t="shared" si="16"/>
        <v>P15S2A63</v>
      </c>
      <c r="AD183" s="144"/>
      <c r="AE183" s="144">
        <v>15</v>
      </c>
      <c r="AF183" s="144">
        <v>2</v>
      </c>
      <c r="AG183" s="144">
        <v>63</v>
      </c>
      <c r="AH183" s="143">
        <v>1140</v>
      </c>
      <c r="AJ183" s="142" t="str">
        <f t="shared" si="22"/>
        <v>P15S1A52</v>
      </c>
      <c r="AK183" s="142"/>
      <c r="AL183" s="142">
        <v>15</v>
      </c>
      <c r="AM183" s="142">
        <v>1</v>
      </c>
      <c r="AN183" s="142">
        <v>52</v>
      </c>
      <c r="AO183" s="143">
        <v>1008</v>
      </c>
      <c r="AQ183" s="163" t="str">
        <f t="shared" si="23"/>
        <v>P20S2A63</v>
      </c>
      <c r="AR183" s="163"/>
      <c r="AS183" s="165">
        <v>20</v>
      </c>
      <c r="AT183" s="163">
        <v>2</v>
      </c>
      <c r="AU183" s="167">
        <v>63</v>
      </c>
      <c r="AV183" s="164">
        <v>1400</v>
      </c>
    </row>
    <row r="184" spans="8:48">
      <c r="H184" s="30" t="str">
        <f t="shared" si="19"/>
        <v>P20S1A60</v>
      </c>
      <c r="I184" s="30"/>
      <c r="J184" s="30">
        <v>20</v>
      </c>
      <c r="K184" s="30">
        <v>1</v>
      </c>
      <c r="L184" s="30">
        <v>60</v>
      </c>
      <c r="M184" s="31">
        <v>5500</v>
      </c>
      <c r="O184" s="30" t="str">
        <f t="shared" si="20"/>
        <v>P00SA00</v>
      </c>
      <c r="P184" s="30"/>
      <c r="Q184" s="30"/>
      <c r="R184" s="30"/>
      <c r="S184" s="30"/>
      <c r="T184" s="31"/>
      <c r="V184" s="30" t="str">
        <f t="shared" si="21"/>
        <v>P20S2A42</v>
      </c>
      <c r="W184" s="30">
        <v>2223</v>
      </c>
      <c r="X184" s="30">
        <v>20</v>
      </c>
      <c r="Y184" s="30">
        <v>2</v>
      </c>
      <c r="Z184" s="30">
        <v>42</v>
      </c>
      <c r="AA184" s="31">
        <v>8087</v>
      </c>
      <c r="AC184" s="144" t="str">
        <f t="shared" si="16"/>
        <v>P15S2A64</v>
      </c>
      <c r="AD184" s="144"/>
      <c r="AE184" s="144">
        <v>15</v>
      </c>
      <c r="AF184" s="144">
        <v>2</v>
      </c>
      <c r="AG184" s="144">
        <v>64</v>
      </c>
      <c r="AH184" s="143">
        <v>1141</v>
      </c>
      <c r="AJ184" s="142" t="str">
        <f t="shared" si="22"/>
        <v>P15S1A53</v>
      </c>
      <c r="AK184" s="142"/>
      <c r="AL184" s="142">
        <v>15</v>
      </c>
      <c r="AM184" s="142">
        <v>1</v>
      </c>
      <c r="AN184" s="142">
        <v>53</v>
      </c>
      <c r="AO184" s="143">
        <v>1010</v>
      </c>
      <c r="AQ184" s="163" t="str">
        <f t="shared" si="23"/>
        <v>P20S2A64</v>
      </c>
      <c r="AR184" s="163"/>
      <c r="AS184" s="165">
        <v>20</v>
      </c>
      <c r="AT184" s="163">
        <v>2</v>
      </c>
      <c r="AU184" s="167">
        <v>64</v>
      </c>
      <c r="AV184" s="164">
        <v>1507</v>
      </c>
    </row>
    <row r="185" spans="8:48">
      <c r="H185" s="30" t="str">
        <f t="shared" si="19"/>
        <v>P20S2A00</v>
      </c>
      <c r="I185" s="30"/>
      <c r="J185" s="30">
        <v>20</v>
      </c>
      <c r="K185" s="30">
        <v>2</v>
      </c>
      <c r="L185" s="30">
        <v>0</v>
      </c>
      <c r="M185" s="31">
        <v>1421</v>
      </c>
      <c r="O185" s="30" t="str">
        <f t="shared" si="20"/>
        <v>P00SA00</v>
      </c>
      <c r="P185" s="30"/>
      <c r="Q185" s="30"/>
      <c r="R185" s="30"/>
      <c r="S185" s="30"/>
      <c r="T185" s="31"/>
      <c r="V185" s="30" t="str">
        <f t="shared" si="21"/>
        <v>P20S2A43</v>
      </c>
      <c r="W185" s="30">
        <v>2223</v>
      </c>
      <c r="X185" s="30">
        <v>20</v>
      </c>
      <c r="Y185" s="30">
        <v>2</v>
      </c>
      <c r="Z185" s="30">
        <v>43</v>
      </c>
      <c r="AA185" s="31">
        <v>8061</v>
      </c>
      <c r="AC185" s="144" t="str">
        <f t="shared" si="16"/>
        <v>P15S2A65</v>
      </c>
      <c r="AD185" s="144"/>
      <c r="AE185" s="144">
        <v>15</v>
      </c>
      <c r="AF185" s="144">
        <v>2</v>
      </c>
      <c r="AG185" s="144">
        <v>65</v>
      </c>
      <c r="AH185" s="143">
        <v>1141</v>
      </c>
      <c r="AJ185" s="142" t="str">
        <f t="shared" si="22"/>
        <v>P15S1A54</v>
      </c>
      <c r="AK185" s="142"/>
      <c r="AL185" s="142">
        <v>15</v>
      </c>
      <c r="AM185" s="142">
        <v>1</v>
      </c>
      <c r="AN185" s="142">
        <v>54</v>
      </c>
      <c r="AO185" s="143">
        <v>1013</v>
      </c>
      <c r="AQ185" s="163" t="str">
        <f t="shared" si="23"/>
        <v>P20S2A65</v>
      </c>
      <c r="AR185" s="163"/>
      <c r="AS185" s="165">
        <v>20</v>
      </c>
      <c r="AT185" s="163">
        <v>2</v>
      </c>
      <c r="AU185" s="167">
        <v>65</v>
      </c>
      <c r="AV185" s="164">
        <v>1619</v>
      </c>
    </row>
    <row r="186" spans="8:48">
      <c r="H186" s="30" t="str">
        <f t="shared" si="19"/>
        <v>P20S2A01</v>
      </c>
      <c r="I186" s="30"/>
      <c r="J186" s="30">
        <v>20</v>
      </c>
      <c r="K186" s="30">
        <v>2</v>
      </c>
      <c r="L186" s="30">
        <v>1</v>
      </c>
      <c r="M186" s="31">
        <v>1421</v>
      </c>
      <c r="O186" s="30" t="str">
        <f t="shared" si="20"/>
        <v>P00SA00</v>
      </c>
      <c r="P186" s="30"/>
      <c r="Q186" s="30"/>
      <c r="R186" s="30"/>
      <c r="S186" s="30"/>
      <c r="T186" s="31"/>
      <c r="V186" s="30" t="str">
        <f t="shared" si="21"/>
        <v>P20S2A44</v>
      </c>
      <c r="W186" s="30">
        <v>2223</v>
      </c>
      <c r="X186" s="30">
        <v>20</v>
      </c>
      <c r="Y186" s="30">
        <v>2</v>
      </c>
      <c r="Z186" s="30">
        <v>44</v>
      </c>
      <c r="AA186" s="31">
        <v>8034</v>
      </c>
      <c r="AC186" s="144" t="str">
        <f t="shared" si="16"/>
        <v>P20S1A20</v>
      </c>
      <c r="AD186" s="144"/>
      <c r="AE186" s="144">
        <v>20</v>
      </c>
      <c r="AF186" s="144">
        <v>1</v>
      </c>
      <c r="AG186" s="144">
        <v>20</v>
      </c>
      <c r="AH186" s="145">
        <v>637</v>
      </c>
      <c r="AJ186" s="142" t="str">
        <f t="shared" si="22"/>
        <v>P15S1A55</v>
      </c>
      <c r="AK186" s="142"/>
      <c r="AL186" s="142">
        <v>15</v>
      </c>
      <c r="AM186" s="142">
        <v>1</v>
      </c>
      <c r="AN186" s="142">
        <v>55</v>
      </c>
      <c r="AO186" s="143">
        <v>1015</v>
      </c>
    </row>
    <row r="187" spans="8:48">
      <c r="H187" s="30" t="str">
        <f t="shared" si="19"/>
        <v>P20S2A02</v>
      </c>
      <c r="I187" s="30"/>
      <c r="J187" s="30">
        <v>20</v>
      </c>
      <c r="K187" s="30">
        <v>2</v>
      </c>
      <c r="L187" s="30">
        <v>2</v>
      </c>
      <c r="M187" s="31">
        <v>1421</v>
      </c>
      <c r="O187" s="30" t="str">
        <f t="shared" si="20"/>
        <v>P00SA00</v>
      </c>
      <c r="P187" s="30"/>
      <c r="Q187" s="30"/>
      <c r="R187" s="30"/>
      <c r="S187" s="30"/>
      <c r="T187" s="31"/>
      <c r="V187" s="30" t="str">
        <f t="shared" si="21"/>
        <v>P20S2A45</v>
      </c>
      <c r="W187" s="30">
        <v>2223</v>
      </c>
      <c r="X187" s="30">
        <v>20</v>
      </c>
      <c r="Y187" s="30">
        <v>2</v>
      </c>
      <c r="Z187" s="30">
        <v>45</v>
      </c>
      <c r="AA187" s="31">
        <v>8006</v>
      </c>
      <c r="AC187" s="144" t="str">
        <f t="shared" si="16"/>
        <v>P20S1A21</v>
      </c>
      <c r="AD187" s="144"/>
      <c r="AE187" s="144">
        <v>20</v>
      </c>
      <c r="AF187" s="144">
        <v>1</v>
      </c>
      <c r="AG187" s="144">
        <v>21</v>
      </c>
      <c r="AH187" s="145">
        <v>643</v>
      </c>
      <c r="AJ187" s="142" t="str">
        <f t="shared" si="22"/>
        <v>P15S1A56</v>
      </c>
      <c r="AK187" s="142"/>
      <c r="AL187" s="142">
        <v>15</v>
      </c>
      <c r="AM187" s="142">
        <v>1</v>
      </c>
      <c r="AN187" s="142">
        <v>56</v>
      </c>
      <c r="AO187" s="143">
        <v>1017</v>
      </c>
    </row>
    <row r="188" spans="8:48">
      <c r="H188" s="30" t="str">
        <f t="shared" si="19"/>
        <v>P20S2A03</v>
      </c>
      <c r="I188" s="30"/>
      <c r="J188" s="30">
        <v>20</v>
      </c>
      <c r="K188" s="30">
        <v>2</v>
      </c>
      <c r="L188" s="30">
        <v>3</v>
      </c>
      <c r="M188" s="31">
        <v>1421</v>
      </c>
      <c r="O188" s="30" t="str">
        <f t="shared" si="20"/>
        <v>P00SA00</v>
      </c>
      <c r="P188" s="30"/>
      <c r="Q188" s="30"/>
      <c r="R188" s="30"/>
      <c r="S188" s="30"/>
      <c r="T188" s="31"/>
      <c r="V188" s="30" t="str">
        <f t="shared" si="21"/>
        <v>P00SA00</v>
      </c>
      <c r="W188" s="30"/>
      <c r="X188" s="30"/>
      <c r="Y188" s="30"/>
      <c r="Z188" s="30"/>
      <c r="AA188" s="31"/>
      <c r="AC188" s="144" t="str">
        <f t="shared" si="16"/>
        <v>P20S1A22</v>
      </c>
      <c r="AD188" s="144"/>
      <c r="AE188" s="144">
        <v>20</v>
      </c>
      <c r="AF188" s="144">
        <v>1</v>
      </c>
      <c r="AG188" s="144">
        <v>22</v>
      </c>
      <c r="AH188" s="145">
        <v>650</v>
      </c>
      <c r="AJ188" s="142" t="str">
        <f t="shared" si="22"/>
        <v>P15S1A57</v>
      </c>
      <c r="AK188" s="142"/>
      <c r="AL188" s="142">
        <v>15</v>
      </c>
      <c r="AM188" s="142">
        <v>1</v>
      </c>
      <c r="AN188" s="142">
        <v>57</v>
      </c>
      <c r="AO188" s="143">
        <v>1020</v>
      </c>
    </row>
    <row r="189" spans="8:48">
      <c r="H189" s="30" t="str">
        <f t="shared" si="19"/>
        <v>P20S2A04</v>
      </c>
      <c r="I189" s="30"/>
      <c r="J189" s="30">
        <v>20</v>
      </c>
      <c r="K189" s="30">
        <v>2</v>
      </c>
      <c r="L189" s="30">
        <v>4</v>
      </c>
      <c r="M189" s="31">
        <v>1421</v>
      </c>
      <c r="O189" s="30" t="str">
        <f t="shared" si="20"/>
        <v>P00SA00</v>
      </c>
      <c r="P189" s="30"/>
      <c r="Q189" s="30"/>
      <c r="R189" s="30"/>
      <c r="S189" s="30"/>
      <c r="T189" s="31"/>
      <c r="V189" s="30" t="str">
        <f t="shared" si="21"/>
        <v>P00SA00</v>
      </c>
      <c r="W189" s="30"/>
      <c r="X189" s="30"/>
      <c r="Y189" s="30"/>
      <c r="Z189" s="30"/>
      <c r="AA189" s="31"/>
      <c r="AC189" s="144" t="str">
        <f t="shared" si="16"/>
        <v>P20S1A23</v>
      </c>
      <c r="AD189" s="144"/>
      <c r="AE189" s="144">
        <v>20</v>
      </c>
      <c r="AF189" s="144">
        <v>1</v>
      </c>
      <c r="AG189" s="144">
        <v>23</v>
      </c>
      <c r="AH189" s="145">
        <v>656</v>
      </c>
      <c r="AJ189" s="142" t="str">
        <f t="shared" si="22"/>
        <v>P15S1A58</v>
      </c>
      <c r="AK189" s="142"/>
      <c r="AL189" s="142">
        <v>15</v>
      </c>
      <c r="AM189" s="142">
        <v>1</v>
      </c>
      <c r="AN189" s="142">
        <v>58</v>
      </c>
      <c r="AO189" s="143">
        <v>1022</v>
      </c>
    </row>
    <row r="190" spans="8:48">
      <c r="H190" s="30" t="str">
        <f t="shared" si="19"/>
        <v>P20S2A05</v>
      </c>
      <c r="I190" s="30"/>
      <c r="J190" s="30">
        <v>20</v>
      </c>
      <c r="K190" s="30">
        <v>2</v>
      </c>
      <c r="L190" s="30">
        <v>5</v>
      </c>
      <c r="M190" s="31">
        <v>1421</v>
      </c>
      <c r="O190" s="30" t="str">
        <f t="shared" si="20"/>
        <v>P00SA00</v>
      </c>
      <c r="P190" s="30"/>
      <c r="Q190" s="30"/>
      <c r="R190" s="30"/>
      <c r="S190" s="30"/>
      <c r="T190" s="31"/>
      <c r="V190" s="30" t="str">
        <f t="shared" si="21"/>
        <v>P00SA00</v>
      </c>
      <c r="W190" s="30"/>
      <c r="X190" s="30"/>
      <c r="Y190" s="30"/>
      <c r="Z190" s="30"/>
      <c r="AA190" s="31"/>
      <c r="AC190" s="144" t="str">
        <f t="shared" si="16"/>
        <v>P20S1A24</v>
      </c>
      <c r="AD190" s="144"/>
      <c r="AE190" s="144">
        <v>20</v>
      </c>
      <c r="AF190" s="144">
        <v>1</v>
      </c>
      <c r="AG190" s="144">
        <v>24</v>
      </c>
      <c r="AH190" s="145">
        <v>663</v>
      </c>
      <c r="AJ190" s="142" t="str">
        <f t="shared" si="22"/>
        <v>P15S1A59</v>
      </c>
      <c r="AK190" s="142"/>
      <c r="AL190" s="142">
        <v>15</v>
      </c>
      <c r="AM190" s="142">
        <v>1</v>
      </c>
      <c r="AN190" s="142">
        <v>59</v>
      </c>
      <c r="AO190" s="143">
        <v>1024</v>
      </c>
    </row>
    <row r="191" spans="8:48">
      <c r="H191" s="30" t="str">
        <f t="shared" si="19"/>
        <v>P20S2A06</v>
      </c>
      <c r="I191" s="30"/>
      <c r="J191" s="30">
        <v>20</v>
      </c>
      <c r="K191" s="30">
        <v>2</v>
      </c>
      <c r="L191" s="30">
        <v>6</v>
      </c>
      <c r="M191" s="31">
        <v>1422</v>
      </c>
      <c r="O191" s="30" t="str">
        <f t="shared" si="20"/>
        <v>P00SA00</v>
      </c>
      <c r="P191" s="30"/>
      <c r="Q191" s="30"/>
      <c r="R191" s="30"/>
      <c r="S191" s="30"/>
      <c r="T191" s="31"/>
      <c r="V191" s="30" t="str">
        <f t="shared" si="21"/>
        <v>P00SA00</v>
      </c>
      <c r="W191" s="30"/>
      <c r="X191" s="30"/>
      <c r="Y191" s="30"/>
      <c r="Z191" s="30"/>
      <c r="AA191" s="31"/>
      <c r="AC191" s="144" t="str">
        <f t="shared" si="16"/>
        <v>P20S1A25</v>
      </c>
      <c r="AD191" s="144"/>
      <c r="AE191" s="144">
        <v>20</v>
      </c>
      <c r="AF191" s="144">
        <v>1</v>
      </c>
      <c r="AG191" s="144">
        <v>25</v>
      </c>
      <c r="AH191" s="145">
        <v>670</v>
      </c>
      <c r="AJ191" s="142" t="str">
        <f t="shared" si="22"/>
        <v>P15S1A60</v>
      </c>
      <c r="AK191" s="142"/>
      <c r="AL191" s="142">
        <v>15</v>
      </c>
      <c r="AM191" s="142">
        <v>1</v>
      </c>
      <c r="AN191" s="142">
        <v>60</v>
      </c>
      <c r="AO191" s="143">
        <v>1027</v>
      </c>
    </row>
    <row r="192" spans="8:48">
      <c r="H192" s="30" t="str">
        <f t="shared" si="19"/>
        <v>P20S2A07</v>
      </c>
      <c r="I192" s="30"/>
      <c r="J192" s="30">
        <v>20</v>
      </c>
      <c r="K192" s="30">
        <v>2</v>
      </c>
      <c r="L192" s="30">
        <v>7</v>
      </c>
      <c r="M192" s="31">
        <v>1423</v>
      </c>
      <c r="O192" s="30" t="str">
        <f t="shared" si="20"/>
        <v>P00SA00</v>
      </c>
      <c r="P192" s="30"/>
      <c r="Q192" s="30"/>
      <c r="R192" s="30"/>
      <c r="S192" s="30"/>
      <c r="T192" s="31"/>
      <c r="V192" s="30" t="str">
        <f t="shared" si="21"/>
        <v>P00SA00</v>
      </c>
      <c r="W192" s="30"/>
      <c r="X192" s="30"/>
      <c r="Y192" s="30"/>
      <c r="Z192" s="30"/>
      <c r="AA192" s="31"/>
      <c r="AC192" s="144" t="str">
        <f t="shared" si="16"/>
        <v>P20S1A26</v>
      </c>
      <c r="AD192" s="144"/>
      <c r="AE192" s="144">
        <v>20</v>
      </c>
      <c r="AF192" s="144">
        <v>1</v>
      </c>
      <c r="AG192" s="144">
        <v>26</v>
      </c>
      <c r="AH192" s="145">
        <v>677</v>
      </c>
      <c r="AJ192" s="142" t="str">
        <f t="shared" si="22"/>
        <v>P15S1A61</v>
      </c>
      <c r="AK192" s="142"/>
      <c r="AL192" s="142">
        <v>15</v>
      </c>
      <c r="AM192" s="142">
        <v>1</v>
      </c>
      <c r="AN192" s="142">
        <v>61</v>
      </c>
      <c r="AO192" s="143">
        <v>1028</v>
      </c>
    </row>
    <row r="193" spans="8:41">
      <c r="H193" s="30" t="str">
        <f t="shared" si="19"/>
        <v>P20S2A08</v>
      </c>
      <c r="I193" s="30"/>
      <c r="J193" s="30">
        <v>20</v>
      </c>
      <c r="K193" s="30">
        <v>2</v>
      </c>
      <c r="L193" s="30">
        <v>8</v>
      </c>
      <c r="M193" s="31">
        <v>1424</v>
      </c>
      <c r="O193" s="30" t="str">
        <f t="shared" si="20"/>
        <v>P00SA00</v>
      </c>
      <c r="P193" s="30"/>
      <c r="Q193" s="30"/>
      <c r="R193" s="30"/>
      <c r="S193" s="30"/>
      <c r="T193" s="31"/>
      <c r="V193" s="30" t="str">
        <f t="shared" si="21"/>
        <v>P00SA00</v>
      </c>
      <c r="W193" s="30"/>
      <c r="X193" s="30"/>
      <c r="Y193" s="30"/>
      <c r="Z193" s="30"/>
      <c r="AA193" s="31"/>
      <c r="AC193" s="144" t="str">
        <f t="shared" si="16"/>
        <v>P20S1A27</v>
      </c>
      <c r="AD193" s="144"/>
      <c r="AE193" s="144">
        <v>20</v>
      </c>
      <c r="AF193" s="144">
        <v>1</v>
      </c>
      <c r="AG193" s="144">
        <v>27</v>
      </c>
      <c r="AH193" s="145">
        <v>684</v>
      </c>
      <c r="AJ193" s="142" t="str">
        <f t="shared" si="22"/>
        <v>P15S1A62</v>
      </c>
      <c r="AK193" s="142"/>
      <c r="AL193" s="142">
        <v>15</v>
      </c>
      <c r="AM193" s="142">
        <v>1</v>
      </c>
      <c r="AN193" s="142">
        <v>62</v>
      </c>
      <c r="AO193" s="143">
        <v>1031</v>
      </c>
    </row>
    <row r="194" spans="8:41">
      <c r="H194" s="30" t="str">
        <f t="shared" si="19"/>
        <v>P20S2A09</v>
      </c>
      <c r="I194" s="30"/>
      <c r="J194" s="30">
        <v>20</v>
      </c>
      <c r="K194" s="30">
        <v>2</v>
      </c>
      <c r="L194" s="30">
        <v>9</v>
      </c>
      <c r="M194" s="31">
        <v>1425</v>
      </c>
      <c r="O194" s="30" t="str">
        <f t="shared" si="20"/>
        <v>P00SA00</v>
      </c>
      <c r="P194" s="30"/>
      <c r="Q194" s="30"/>
      <c r="R194" s="30"/>
      <c r="S194" s="30"/>
      <c r="T194" s="31"/>
      <c r="V194" s="30" t="str">
        <f t="shared" si="21"/>
        <v>P00SA00</v>
      </c>
      <c r="W194" s="30"/>
      <c r="X194" s="30"/>
      <c r="Y194" s="30"/>
      <c r="Z194" s="30"/>
      <c r="AA194" s="31"/>
      <c r="AC194" s="144" t="str">
        <f t="shared" ref="AC194:AC257" si="24">"P"&amp;REPT("0",2-LEN(AE194))&amp;AE194&amp;"S"&amp;AF194&amp;"A"&amp;REPT("0",2-LEN(AG194))&amp;AG194</f>
        <v>P20S1A28</v>
      </c>
      <c r="AD194" s="144"/>
      <c r="AE194" s="144">
        <v>20</v>
      </c>
      <c r="AF194" s="144">
        <v>1</v>
      </c>
      <c r="AG194" s="144">
        <v>28</v>
      </c>
      <c r="AH194" s="145">
        <v>691</v>
      </c>
      <c r="AJ194" s="142" t="str">
        <f t="shared" si="22"/>
        <v>P15S1A63</v>
      </c>
      <c r="AK194" s="142"/>
      <c r="AL194" s="142">
        <v>15</v>
      </c>
      <c r="AM194" s="142">
        <v>1</v>
      </c>
      <c r="AN194" s="142">
        <v>63</v>
      </c>
      <c r="AO194" s="143">
        <v>1033</v>
      </c>
    </row>
    <row r="195" spans="8:41">
      <c r="H195" s="30" t="str">
        <f t="shared" ref="H195:H245" si="25">"P"&amp;REPT("0",2-LEN(J195))&amp;J195&amp;"S"&amp;K195&amp;"A"&amp;REPT("0",2-LEN(L195))&amp;L195</f>
        <v>P20S2A10</v>
      </c>
      <c r="I195" s="30"/>
      <c r="J195" s="30">
        <v>20</v>
      </c>
      <c r="K195" s="30">
        <v>2</v>
      </c>
      <c r="L195" s="30">
        <v>10</v>
      </c>
      <c r="M195" s="31">
        <v>1426</v>
      </c>
      <c r="O195" s="30" t="str">
        <f t="shared" ref="O195:O245" si="26">"P"&amp;REPT("0",2-LEN(Q195))&amp;Q195&amp;"S"&amp;R195&amp;"A"&amp;REPT("0",2-LEN(S195))&amp;S195</f>
        <v>P00SA00</v>
      </c>
      <c r="P195" s="30"/>
      <c r="Q195" s="30"/>
      <c r="R195" s="30"/>
      <c r="S195" s="30"/>
      <c r="T195" s="31"/>
      <c r="V195" s="30" t="str">
        <f t="shared" ref="V195:V245" si="27">"P"&amp;REPT("0",2-LEN(X195))&amp;X195&amp;"S"&amp;Y195&amp;"A"&amp;REPT("0",2-LEN(Z195))&amp;Z195</f>
        <v>P00SA00</v>
      </c>
      <c r="W195" s="30"/>
      <c r="X195" s="30"/>
      <c r="Y195" s="30"/>
      <c r="Z195" s="30"/>
      <c r="AA195" s="31"/>
      <c r="AC195" s="144" t="str">
        <f t="shared" si="24"/>
        <v>P20S1A29</v>
      </c>
      <c r="AD195" s="144"/>
      <c r="AE195" s="144">
        <v>20</v>
      </c>
      <c r="AF195" s="144">
        <v>1</v>
      </c>
      <c r="AG195" s="144">
        <v>29</v>
      </c>
      <c r="AH195" s="145">
        <v>698</v>
      </c>
      <c r="AJ195" s="142" t="str">
        <f t="shared" ref="AJ195:AJ258" si="28">"P"&amp;REPT("0",2-LEN(AL195))&amp;AL195&amp;"S"&amp;AM195&amp;"A"&amp;REPT("0",2-LEN(AN195))&amp;AN195</f>
        <v>P15S1A64</v>
      </c>
      <c r="AK195" s="142"/>
      <c r="AL195" s="142">
        <v>15</v>
      </c>
      <c r="AM195" s="142">
        <v>1</v>
      </c>
      <c r="AN195" s="142">
        <v>64</v>
      </c>
      <c r="AO195" s="143">
        <v>1033</v>
      </c>
    </row>
    <row r="196" spans="8:41">
      <c r="H196" s="30" t="str">
        <f t="shared" si="25"/>
        <v>P20S2A11</v>
      </c>
      <c r="I196" s="30"/>
      <c r="J196" s="30">
        <v>20</v>
      </c>
      <c r="K196" s="30">
        <v>2</v>
      </c>
      <c r="L196" s="30">
        <v>11</v>
      </c>
      <c r="M196" s="31">
        <v>1442</v>
      </c>
      <c r="O196" s="30" t="str">
        <f t="shared" si="26"/>
        <v>P00SA00</v>
      </c>
      <c r="P196" s="30"/>
      <c r="Q196" s="30"/>
      <c r="R196" s="30"/>
      <c r="S196" s="30"/>
      <c r="T196" s="31"/>
      <c r="V196" s="30" t="str">
        <f t="shared" si="27"/>
        <v>P00SA00</v>
      </c>
      <c r="W196" s="30"/>
      <c r="X196" s="30"/>
      <c r="Y196" s="30"/>
      <c r="Z196" s="30"/>
      <c r="AA196" s="31"/>
      <c r="AC196" s="144" t="str">
        <f t="shared" si="24"/>
        <v>P20S1A30</v>
      </c>
      <c r="AD196" s="144"/>
      <c r="AE196" s="144">
        <v>20</v>
      </c>
      <c r="AF196" s="144">
        <v>1</v>
      </c>
      <c r="AG196" s="144">
        <v>30</v>
      </c>
      <c r="AH196" s="145">
        <v>705</v>
      </c>
      <c r="AJ196" s="142" t="str">
        <f t="shared" si="28"/>
        <v>P15S1A65</v>
      </c>
      <c r="AK196" s="142"/>
      <c r="AL196" s="142">
        <v>15</v>
      </c>
      <c r="AM196" s="142">
        <v>1</v>
      </c>
      <c r="AN196" s="142">
        <v>65</v>
      </c>
      <c r="AO196" s="143">
        <v>1035</v>
      </c>
    </row>
    <row r="197" spans="8:41">
      <c r="H197" s="30" t="str">
        <f t="shared" si="25"/>
        <v>P20S2A12</v>
      </c>
      <c r="I197" s="30"/>
      <c r="J197" s="30">
        <v>20</v>
      </c>
      <c r="K197" s="30">
        <v>2</v>
      </c>
      <c r="L197" s="30">
        <v>12</v>
      </c>
      <c r="M197" s="31">
        <v>1467</v>
      </c>
      <c r="O197" s="30" t="str">
        <f t="shared" si="26"/>
        <v>P00SA00</v>
      </c>
      <c r="P197" s="30"/>
      <c r="Q197" s="30"/>
      <c r="R197" s="30"/>
      <c r="S197" s="30"/>
      <c r="T197" s="31"/>
      <c r="V197" s="30" t="str">
        <f t="shared" si="27"/>
        <v>P00SA00</v>
      </c>
      <c r="W197" s="30"/>
      <c r="X197" s="30"/>
      <c r="Y197" s="30"/>
      <c r="Z197" s="30"/>
      <c r="AA197" s="31"/>
      <c r="AC197" s="144" t="str">
        <f t="shared" si="24"/>
        <v>P20S1A31</v>
      </c>
      <c r="AD197" s="144"/>
      <c r="AE197" s="144">
        <v>20</v>
      </c>
      <c r="AF197" s="144">
        <v>1</v>
      </c>
      <c r="AG197" s="144">
        <v>31</v>
      </c>
      <c r="AH197" s="145">
        <v>712</v>
      </c>
      <c r="AJ197" s="142" t="str">
        <f t="shared" si="28"/>
        <v>P15S2A01</v>
      </c>
      <c r="AK197" s="142"/>
      <c r="AL197" s="142">
        <v>15</v>
      </c>
      <c r="AM197" s="142">
        <v>2</v>
      </c>
      <c r="AN197" s="142">
        <v>1</v>
      </c>
      <c r="AO197" s="143">
        <v>768</v>
      </c>
    </row>
    <row r="198" spans="8:41">
      <c r="H198" s="30" t="str">
        <f t="shared" si="25"/>
        <v>P20S2A13</v>
      </c>
      <c r="I198" s="30"/>
      <c r="J198" s="30">
        <v>20</v>
      </c>
      <c r="K198" s="30">
        <v>2</v>
      </c>
      <c r="L198" s="30">
        <v>13</v>
      </c>
      <c r="M198" s="31">
        <v>1491</v>
      </c>
      <c r="O198" s="30" t="str">
        <f t="shared" si="26"/>
        <v>P00SA00</v>
      </c>
      <c r="P198" s="30"/>
      <c r="Q198" s="30"/>
      <c r="R198" s="30"/>
      <c r="S198" s="30"/>
      <c r="T198" s="31"/>
      <c r="V198" s="30" t="str">
        <f t="shared" si="27"/>
        <v>P00SA00</v>
      </c>
      <c r="W198" s="30"/>
      <c r="X198" s="30"/>
      <c r="Y198" s="30"/>
      <c r="Z198" s="30"/>
      <c r="AA198" s="31"/>
      <c r="AC198" s="144" t="str">
        <f t="shared" si="24"/>
        <v>P20S1A32</v>
      </c>
      <c r="AD198" s="144"/>
      <c r="AE198" s="144">
        <v>20</v>
      </c>
      <c r="AF198" s="144">
        <v>1</v>
      </c>
      <c r="AG198" s="144">
        <v>32</v>
      </c>
      <c r="AH198" s="145">
        <v>720</v>
      </c>
      <c r="AJ198" s="142" t="str">
        <f t="shared" si="28"/>
        <v>P15S2A02</v>
      </c>
      <c r="AK198" s="142"/>
      <c r="AL198" s="142">
        <v>15</v>
      </c>
      <c r="AM198" s="142">
        <v>2</v>
      </c>
      <c r="AN198" s="142">
        <v>2</v>
      </c>
      <c r="AO198" s="143">
        <v>775</v>
      </c>
    </row>
    <row r="199" spans="8:41">
      <c r="H199" s="30" t="str">
        <f t="shared" si="25"/>
        <v>P20S2A14</v>
      </c>
      <c r="I199" s="30"/>
      <c r="J199" s="30">
        <v>20</v>
      </c>
      <c r="K199" s="30">
        <v>2</v>
      </c>
      <c r="L199" s="30">
        <v>14</v>
      </c>
      <c r="M199" s="31">
        <v>1514</v>
      </c>
      <c r="O199" s="30" t="str">
        <f t="shared" si="26"/>
        <v>P00SA00</v>
      </c>
      <c r="P199" s="30"/>
      <c r="Q199" s="30"/>
      <c r="R199" s="30"/>
      <c r="S199" s="30"/>
      <c r="T199" s="31"/>
      <c r="V199" s="30" t="str">
        <f t="shared" si="27"/>
        <v>P00SA00</v>
      </c>
      <c r="W199" s="30"/>
      <c r="X199" s="30"/>
      <c r="Y199" s="30"/>
      <c r="Z199" s="30"/>
      <c r="AA199" s="31"/>
      <c r="AC199" s="144" t="str">
        <f t="shared" si="24"/>
        <v>P20S1A33</v>
      </c>
      <c r="AD199" s="144"/>
      <c r="AE199" s="144">
        <v>20</v>
      </c>
      <c r="AF199" s="144">
        <v>1</v>
      </c>
      <c r="AG199" s="144">
        <v>33</v>
      </c>
      <c r="AH199" s="145">
        <v>727</v>
      </c>
      <c r="AJ199" s="142" t="str">
        <f t="shared" si="28"/>
        <v>P15S2A03</v>
      </c>
      <c r="AK199" s="142"/>
      <c r="AL199" s="142">
        <v>15</v>
      </c>
      <c r="AM199" s="142">
        <v>2</v>
      </c>
      <c r="AN199" s="142">
        <v>3</v>
      </c>
      <c r="AO199" s="143">
        <v>783</v>
      </c>
    </row>
    <row r="200" spans="8:41">
      <c r="H200" s="30" t="str">
        <f t="shared" si="25"/>
        <v>P20S2A15</v>
      </c>
      <c r="I200" s="30"/>
      <c r="J200" s="30">
        <v>20</v>
      </c>
      <c r="K200" s="30">
        <v>2</v>
      </c>
      <c r="L200" s="30">
        <v>15</v>
      </c>
      <c r="M200" s="31">
        <v>1537</v>
      </c>
      <c r="O200" s="30" t="str">
        <f t="shared" si="26"/>
        <v>P00SA00</v>
      </c>
      <c r="P200" s="30"/>
      <c r="Q200" s="30"/>
      <c r="R200" s="30"/>
      <c r="S200" s="30"/>
      <c r="T200" s="31"/>
      <c r="V200" s="30" t="str">
        <f t="shared" si="27"/>
        <v>P00SA00</v>
      </c>
      <c r="W200" s="30"/>
      <c r="X200" s="30"/>
      <c r="Y200" s="30"/>
      <c r="Z200" s="30"/>
      <c r="AA200" s="31"/>
      <c r="AC200" s="144" t="str">
        <f t="shared" si="24"/>
        <v>P20S1A34</v>
      </c>
      <c r="AD200" s="144"/>
      <c r="AE200" s="144">
        <v>20</v>
      </c>
      <c r="AF200" s="144">
        <v>1</v>
      </c>
      <c r="AG200" s="144">
        <v>34</v>
      </c>
      <c r="AH200" s="145">
        <v>735</v>
      </c>
      <c r="AJ200" s="142" t="str">
        <f t="shared" si="28"/>
        <v>P15S2A04</v>
      </c>
      <c r="AK200" s="142"/>
      <c r="AL200" s="142">
        <v>15</v>
      </c>
      <c r="AM200" s="142">
        <v>2</v>
      </c>
      <c r="AN200" s="142">
        <v>4</v>
      </c>
      <c r="AO200" s="143">
        <v>791</v>
      </c>
    </row>
    <row r="201" spans="8:41">
      <c r="H201" s="30" t="str">
        <f t="shared" si="25"/>
        <v>P20S2A16</v>
      </c>
      <c r="I201" s="30"/>
      <c r="J201" s="30">
        <v>20</v>
      </c>
      <c r="K201" s="30">
        <v>2</v>
      </c>
      <c r="L201" s="30">
        <v>16</v>
      </c>
      <c r="M201" s="31">
        <v>1560</v>
      </c>
      <c r="O201" s="30" t="str">
        <f t="shared" si="26"/>
        <v>P00SA00</v>
      </c>
      <c r="P201" s="30"/>
      <c r="Q201" s="30"/>
      <c r="R201" s="30"/>
      <c r="S201" s="30"/>
      <c r="T201" s="31"/>
      <c r="V201" s="30" t="str">
        <f t="shared" si="27"/>
        <v>P00SA00</v>
      </c>
      <c r="W201" s="30"/>
      <c r="X201" s="30"/>
      <c r="Y201" s="30"/>
      <c r="Z201" s="30"/>
      <c r="AA201" s="31"/>
      <c r="AC201" s="144" t="str">
        <f t="shared" si="24"/>
        <v>P20S1A35</v>
      </c>
      <c r="AD201" s="144"/>
      <c r="AE201" s="144">
        <v>20</v>
      </c>
      <c r="AF201" s="144">
        <v>1</v>
      </c>
      <c r="AG201" s="144">
        <v>35</v>
      </c>
      <c r="AH201" s="145">
        <v>742</v>
      </c>
      <c r="AJ201" s="142" t="str">
        <f t="shared" si="28"/>
        <v>P15S2A05</v>
      </c>
      <c r="AK201" s="142"/>
      <c r="AL201" s="142">
        <v>15</v>
      </c>
      <c r="AM201" s="142">
        <v>2</v>
      </c>
      <c r="AN201" s="142">
        <v>5</v>
      </c>
      <c r="AO201" s="143">
        <v>798</v>
      </c>
    </row>
    <row r="202" spans="8:41">
      <c r="H202" s="30" t="str">
        <f t="shared" si="25"/>
        <v>P20S2A17</v>
      </c>
      <c r="I202" s="30"/>
      <c r="J202" s="30">
        <v>20</v>
      </c>
      <c r="K202" s="30">
        <v>2</v>
      </c>
      <c r="L202" s="30">
        <v>17</v>
      </c>
      <c r="M202" s="31">
        <v>1583</v>
      </c>
      <c r="O202" s="30" t="str">
        <f t="shared" si="26"/>
        <v>P00SA00</v>
      </c>
      <c r="P202" s="30"/>
      <c r="Q202" s="30"/>
      <c r="R202" s="30"/>
      <c r="S202" s="30"/>
      <c r="T202" s="31"/>
      <c r="V202" s="30" t="str">
        <f t="shared" si="27"/>
        <v>P00SA00</v>
      </c>
      <c r="W202" s="30"/>
      <c r="X202" s="30"/>
      <c r="Y202" s="30"/>
      <c r="Z202" s="30"/>
      <c r="AA202" s="31"/>
      <c r="AC202" s="144" t="str">
        <f t="shared" si="24"/>
        <v>P20S1A36</v>
      </c>
      <c r="AD202" s="144"/>
      <c r="AE202" s="144">
        <v>20</v>
      </c>
      <c r="AF202" s="144">
        <v>1</v>
      </c>
      <c r="AG202" s="144">
        <v>36</v>
      </c>
      <c r="AH202" s="145">
        <v>750</v>
      </c>
      <c r="AJ202" s="142" t="str">
        <f t="shared" si="28"/>
        <v>P15S2A06</v>
      </c>
      <c r="AK202" s="142"/>
      <c r="AL202" s="142">
        <v>15</v>
      </c>
      <c r="AM202" s="142">
        <v>2</v>
      </c>
      <c r="AN202" s="142">
        <v>6</v>
      </c>
      <c r="AO202" s="143">
        <v>806</v>
      </c>
    </row>
    <row r="203" spans="8:41">
      <c r="H203" s="30" t="str">
        <f t="shared" si="25"/>
        <v>P20S2A18</v>
      </c>
      <c r="I203" s="30"/>
      <c r="J203" s="30">
        <v>20</v>
      </c>
      <c r="K203" s="30">
        <v>2</v>
      </c>
      <c r="L203" s="30">
        <v>18</v>
      </c>
      <c r="M203" s="31">
        <v>1607</v>
      </c>
      <c r="O203" s="30" t="str">
        <f t="shared" si="26"/>
        <v>P00SA00</v>
      </c>
      <c r="P203" s="30"/>
      <c r="Q203" s="30"/>
      <c r="R203" s="30"/>
      <c r="S203" s="30"/>
      <c r="T203" s="31"/>
      <c r="V203" s="30" t="str">
        <f t="shared" si="27"/>
        <v>P00SA00</v>
      </c>
      <c r="W203" s="30"/>
      <c r="X203" s="30"/>
      <c r="Y203" s="30"/>
      <c r="Z203" s="30"/>
      <c r="AA203" s="31"/>
      <c r="AC203" s="144" t="str">
        <f t="shared" si="24"/>
        <v>P20S1A37</v>
      </c>
      <c r="AD203" s="144"/>
      <c r="AE203" s="144">
        <v>20</v>
      </c>
      <c r="AF203" s="144">
        <v>1</v>
      </c>
      <c r="AG203" s="144">
        <v>37</v>
      </c>
      <c r="AH203" s="145">
        <v>757</v>
      </c>
      <c r="AJ203" s="142" t="str">
        <f t="shared" si="28"/>
        <v>P15S2A07</v>
      </c>
      <c r="AK203" s="142"/>
      <c r="AL203" s="142">
        <v>15</v>
      </c>
      <c r="AM203" s="142">
        <v>2</v>
      </c>
      <c r="AN203" s="142">
        <v>7</v>
      </c>
      <c r="AO203" s="143">
        <v>814</v>
      </c>
    </row>
    <row r="204" spans="8:41">
      <c r="H204" s="30" t="str">
        <f t="shared" si="25"/>
        <v>P20S2A19</v>
      </c>
      <c r="I204" s="30"/>
      <c r="J204" s="30">
        <v>20</v>
      </c>
      <c r="K204" s="30">
        <v>2</v>
      </c>
      <c r="L204" s="30">
        <v>19</v>
      </c>
      <c r="M204" s="31">
        <v>1630</v>
      </c>
      <c r="O204" s="30" t="str">
        <f t="shared" si="26"/>
        <v>P00SA00</v>
      </c>
      <c r="P204" s="30"/>
      <c r="Q204" s="30"/>
      <c r="R204" s="30"/>
      <c r="S204" s="30"/>
      <c r="T204" s="31"/>
      <c r="V204" s="30" t="str">
        <f t="shared" si="27"/>
        <v>P00SA00</v>
      </c>
      <c r="W204" s="30"/>
      <c r="X204" s="30"/>
      <c r="Y204" s="30"/>
      <c r="Z204" s="30"/>
      <c r="AA204" s="31"/>
      <c r="AC204" s="144" t="str">
        <f t="shared" si="24"/>
        <v>P20S1A38</v>
      </c>
      <c r="AD204" s="144"/>
      <c r="AE204" s="144">
        <v>20</v>
      </c>
      <c r="AF204" s="144">
        <v>1</v>
      </c>
      <c r="AG204" s="144">
        <v>38</v>
      </c>
      <c r="AH204" s="145">
        <v>764</v>
      </c>
      <c r="AJ204" s="142" t="str">
        <f t="shared" si="28"/>
        <v>P15S2A08</v>
      </c>
      <c r="AK204" s="142"/>
      <c r="AL204" s="142">
        <v>15</v>
      </c>
      <c r="AM204" s="142">
        <v>2</v>
      </c>
      <c r="AN204" s="142">
        <v>8</v>
      </c>
      <c r="AO204" s="143">
        <v>822</v>
      </c>
    </row>
    <row r="205" spans="8:41">
      <c r="H205" s="30" t="str">
        <f t="shared" si="25"/>
        <v>P20S2A20</v>
      </c>
      <c r="I205" s="30"/>
      <c r="J205" s="30">
        <v>20</v>
      </c>
      <c r="K205" s="30">
        <v>2</v>
      </c>
      <c r="L205" s="30">
        <v>20</v>
      </c>
      <c r="M205" s="31">
        <v>1653</v>
      </c>
      <c r="O205" s="30" t="str">
        <f t="shared" si="26"/>
        <v>P00SA00</v>
      </c>
      <c r="P205" s="30"/>
      <c r="Q205" s="30"/>
      <c r="R205" s="30"/>
      <c r="S205" s="30"/>
      <c r="T205" s="31"/>
      <c r="V205" s="30" t="str">
        <f t="shared" si="27"/>
        <v>P00SA00</v>
      </c>
      <c r="W205" s="30"/>
      <c r="X205" s="30"/>
      <c r="Y205" s="30"/>
      <c r="Z205" s="30"/>
      <c r="AA205" s="31"/>
      <c r="AC205" s="144" t="str">
        <f t="shared" si="24"/>
        <v>P20S1A39</v>
      </c>
      <c r="AD205" s="144"/>
      <c r="AE205" s="144">
        <v>20</v>
      </c>
      <c r="AF205" s="144">
        <v>1</v>
      </c>
      <c r="AG205" s="144">
        <v>39</v>
      </c>
      <c r="AH205" s="145">
        <v>772</v>
      </c>
      <c r="AJ205" s="142" t="str">
        <f t="shared" si="28"/>
        <v>P15S2A09</v>
      </c>
      <c r="AK205" s="142"/>
      <c r="AL205" s="142">
        <v>15</v>
      </c>
      <c r="AM205" s="142">
        <v>2</v>
      </c>
      <c r="AN205" s="142">
        <v>9</v>
      </c>
      <c r="AO205" s="143">
        <v>830</v>
      </c>
    </row>
    <row r="206" spans="8:41">
      <c r="H206" s="30" t="str">
        <f t="shared" si="25"/>
        <v>P20S2A21</v>
      </c>
      <c r="I206" s="30"/>
      <c r="J206" s="30">
        <v>20</v>
      </c>
      <c r="K206" s="30">
        <v>2</v>
      </c>
      <c r="L206" s="30">
        <v>21</v>
      </c>
      <c r="M206" s="31">
        <v>1680</v>
      </c>
      <c r="O206" s="30" t="str">
        <f t="shared" si="26"/>
        <v>P00SA00</v>
      </c>
      <c r="P206" s="30"/>
      <c r="Q206" s="30"/>
      <c r="R206" s="30"/>
      <c r="S206" s="30"/>
      <c r="T206" s="31"/>
      <c r="V206" s="30" t="str">
        <f t="shared" si="27"/>
        <v>P00SA00</v>
      </c>
      <c r="W206" s="30"/>
      <c r="X206" s="30"/>
      <c r="Y206" s="30"/>
      <c r="Z206" s="30"/>
      <c r="AA206" s="31"/>
      <c r="AC206" s="144" t="str">
        <f t="shared" si="24"/>
        <v>P20S1A40</v>
      </c>
      <c r="AD206" s="144"/>
      <c r="AE206" s="144">
        <v>20</v>
      </c>
      <c r="AF206" s="144">
        <v>1</v>
      </c>
      <c r="AG206" s="144">
        <v>40</v>
      </c>
      <c r="AH206" s="145">
        <v>780</v>
      </c>
      <c r="AJ206" s="142" t="str">
        <f t="shared" si="28"/>
        <v>P15S2A10</v>
      </c>
      <c r="AK206" s="142"/>
      <c r="AL206" s="142">
        <v>15</v>
      </c>
      <c r="AM206" s="142">
        <v>2</v>
      </c>
      <c r="AN206" s="142">
        <v>10</v>
      </c>
      <c r="AO206" s="143">
        <v>838</v>
      </c>
    </row>
    <row r="207" spans="8:41">
      <c r="H207" s="30" t="str">
        <f t="shared" si="25"/>
        <v>P20S2A22</v>
      </c>
      <c r="I207" s="30"/>
      <c r="J207" s="30">
        <v>20</v>
      </c>
      <c r="K207" s="30">
        <v>2</v>
      </c>
      <c r="L207" s="30">
        <v>22</v>
      </c>
      <c r="M207" s="31">
        <v>1704</v>
      </c>
      <c r="O207" s="30" t="str">
        <f t="shared" si="26"/>
        <v>P00SA00</v>
      </c>
      <c r="P207" s="30"/>
      <c r="Q207" s="30"/>
      <c r="R207" s="30"/>
      <c r="S207" s="30"/>
      <c r="T207" s="31"/>
      <c r="V207" s="30" t="str">
        <f t="shared" si="27"/>
        <v>P00SA00</v>
      </c>
      <c r="W207" s="30"/>
      <c r="X207" s="30"/>
      <c r="Y207" s="30"/>
      <c r="Z207" s="30"/>
      <c r="AA207" s="31"/>
      <c r="AC207" s="144" t="str">
        <f t="shared" si="24"/>
        <v>P20S1A41</v>
      </c>
      <c r="AD207" s="144"/>
      <c r="AE207" s="144">
        <v>20</v>
      </c>
      <c r="AF207" s="144">
        <v>1</v>
      </c>
      <c r="AG207" s="144">
        <v>41</v>
      </c>
      <c r="AH207" s="145">
        <v>781</v>
      </c>
      <c r="AJ207" s="142" t="str">
        <f t="shared" si="28"/>
        <v>P15S2A11</v>
      </c>
      <c r="AK207" s="142"/>
      <c r="AL207" s="142">
        <v>15</v>
      </c>
      <c r="AM207" s="142">
        <v>2</v>
      </c>
      <c r="AN207" s="142">
        <v>11</v>
      </c>
      <c r="AO207" s="143">
        <v>846</v>
      </c>
    </row>
    <row r="208" spans="8:41">
      <c r="H208" s="30" t="str">
        <f t="shared" si="25"/>
        <v>P20S2A23</v>
      </c>
      <c r="I208" s="30"/>
      <c r="J208" s="30">
        <v>20</v>
      </c>
      <c r="K208" s="30">
        <v>2</v>
      </c>
      <c r="L208" s="30">
        <v>23</v>
      </c>
      <c r="M208" s="31">
        <v>1727</v>
      </c>
      <c r="O208" s="30" t="str">
        <f t="shared" si="26"/>
        <v>P00SA00</v>
      </c>
      <c r="P208" s="30"/>
      <c r="Q208" s="30"/>
      <c r="R208" s="30"/>
      <c r="S208" s="30"/>
      <c r="T208" s="31"/>
      <c r="V208" s="30" t="str">
        <f t="shared" si="27"/>
        <v>P00SA00</v>
      </c>
      <c r="W208" s="30"/>
      <c r="X208" s="30"/>
      <c r="Y208" s="30"/>
      <c r="Z208" s="30"/>
      <c r="AA208" s="31"/>
      <c r="AC208" s="144" t="str">
        <f t="shared" si="24"/>
        <v>P20S1A42</v>
      </c>
      <c r="AD208" s="144"/>
      <c r="AE208" s="144">
        <v>20</v>
      </c>
      <c r="AF208" s="144">
        <v>1</v>
      </c>
      <c r="AG208" s="144">
        <v>42</v>
      </c>
      <c r="AH208" s="145">
        <v>782</v>
      </c>
      <c r="AJ208" s="142" t="str">
        <f t="shared" si="28"/>
        <v>P15S2A12</v>
      </c>
      <c r="AK208" s="142"/>
      <c r="AL208" s="142">
        <v>15</v>
      </c>
      <c r="AM208" s="142">
        <v>2</v>
      </c>
      <c r="AN208" s="142">
        <v>12</v>
      </c>
      <c r="AO208" s="143">
        <v>854</v>
      </c>
    </row>
    <row r="209" spans="8:41">
      <c r="H209" s="30" t="str">
        <f t="shared" si="25"/>
        <v>P20S2A24</v>
      </c>
      <c r="I209" s="30"/>
      <c r="J209" s="30">
        <v>20</v>
      </c>
      <c r="K209" s="30">
        <v>2</v>
      </c>
      <c r="L209" s="30">
        <v>24</v>
      </c>
      <c r="M209" s="31">
        <v>1748</v>
      </c>
      <c r="O209" s="30" t="str">
        <f t="shared" si="26"/>
        <v>P00SA00</v>
      </c>
      <c r="P209" s="30"/>
      <c r="Q209" s="30"/>
      <c r="R209" s="30"/>
      <c r="S209" s="30"/>
      <c r="T209" s="31"/>
      <c r="V209" s="30" t="str">
        <f t="shared" si="27"/>
        <v>P00SA00</v>
      </c>
      <c r="W209" s="30"/>
      <c r="X209" s="30"/>
      <c r="Y209" s="30"/>
      <c r="Z209" s="30"/>
      <c r="AA209" s="31"/>
      <c r="AC209" s="144" t="str">
        <f t="shared" si="24"/>
        <v>P20S1A43</v>
      </c>
      <c r="AD209" s="144"/>
      <c r="AE209" s="144">
        <v>20</v>
      </c>
      <c r="AF209" s="144">
        <v>1</v>
      </c>
      <c r="AG209" s="144">
        <v>43</v>
      </c>
      <c r="AH209" s="145">
        <v>783</v>
      </c>
      <c r="AJ209" s="142" t="str">
        <f t="shared" si="28"/>
        <v>P15S2A13</v>
      </c>
      <c r="AK209" s="142"/>
      <c r="AL209" s="142">
        <v>15</v>
      </c>
      <c r="AM209" s="142">
        <v>2</v>
      </c>
      <c r="AN209" s="142">
        <v>13</v>
      </c>
      <c r="AO209" s="143">
        <v>863</v>
      </c>
    </row>
    <row r="210" spans="8:41">
      <c r="H210" s="30" t="str">
        <f t="shared" si="25"/>
        <v>P20S2A25</v>
      </c>
      <c r="I210" s="30"/>
      <c r="J210" s="30">
        <v>20</v>
      </c>
      <c r="K210" s="30">
        <v>2</v>
      </c>
      <c r="L210" s="30">
        <v>25</v>
      </c>
      <c r="M210" s="31">
        <v>1767</v>
      </c>
      <c r="O210" s="30" t="str">
        <f t="shared" si="26"/>
        <v>P00SA00</v>
      </c>
      <c r="P210" s="30"/>
      <c r="Q210" s="30"/>
      <c r="R210" s="30"/>
      <c r="S210" s="30"/>
      <c r="T210" s="31"/>
      <c r="V210" s="30" t="str">
        <f t="shared" si="27"/>
        <v>P00SA00</v>
      </c>
      <c r="W210" s="30"/>
      <c r="X210" s="30"/>
      <c r="Y210" s="30"/>
      <c r="Z210" s="30"/>
      <c r="AA210" s="31"/>
      <c r="AC210" s="144" t="str">
        <f t="shared" si="24"/>
        <v>P20S1A44</v>
      </c>
      <c r="AD210" s="144"/>
      <c r="AE210" s="144">
        <v>20</v>
      </c>
      <c r="AF210" s="144">
        <v>1</v>
      </c>
      <c r="AG210" s="144">
        <v>44</v>
      </c>
      <c r="AH210" s="145">
        <v>787</v>
      </c>
      <c r="AJ210" s="142" t="str">
        <f t="shared" si="28"/>
        <v>P15S2A14</v>
      </c>
      <c r="AK210" s="142"/>
      <c r="AL210" s="142">
        <v>15</v>
      </c>
      <c r="AM210" s="142">
        <v>2</v>
      </c>
      <c r="AN210" s="142">
        <v>14</v>
      </c>
      <c r="AO210" s="143">
        <v>871</v>
      </c>
    </row>
    <row r="211" spans="8:41">
      <c r="H211" s="30" t="str">
        <f t="shared" si="25"/>
        <v>P20S2A26</v>
      </c>
      <c r="I211" s="30"/>
      <c r="J211" s="30">
        <v>20</v>
      </c>
      <c r="K211" s="30">
        <v>2</v>
      </c>
      <c r="L211" s="30">
        <v>26</v>
      </c>
      <c r="M211" s="31">
        <v>1786</v>
      </c>
      <c r="O211" s="30" t="str">
        <f t="shared" si="26"/>
        <v>P00SA00</v>
      </c>
      <c r="P211" s="30"/>
      <c r="Q211" s="30"/>
      <c r="R211" s="30"/>
      <c r="S211" s="30"/>
      <c r="T211" s="31"/>
      <c r="V211" s="30" t="str">
        <f t="shared" si="27"/>
        <v>P00SA00</v>
      </c>
      <c r="W211" s="30"/>
      <c r="X211" s="30"/>
      <c r="Y211" s="30"/>
      <c r="Z211" s="30"/>
      <c r="AA211" s="31"/>
      <c r="AC211" s="144" t="str">
        <f t="shared" si="24"/>
        <v>P20S1A45</v>
      </c>
      <c r="AD211" s="144"/>
      <c r="AE211" s="144">
        <v>20</v>
      </c>
      <c r="AF211" s="144">
        <v>1</v>
      </c>
      <c r="AG211" s="144">
        <v>45</v>
      </c>
      <c r="AH211" s="145">
        <v>792</v>
      </c>
      <c r="AJ211" s="142" t="str">
        <f t="shared" si="28"/>
        <v>P15S2A15</v>
      </c>
      <c r="AK211" s="142"/>
      <c r="AL211" s="142">
        <v>15</v>
      </c>
      <c r="AM211" s="142">
        <v>2</v>
      </c>
      <c r="AN211" s="142">
        <v>15</v>
      </c>
      <c r="AO211" s="143">
        <v>880</v>
      </c>
    </row>
    <row r="212" spans="8:41">
      <c r="H212" s="30" t="str">
        <f t="shared" si="25"/>
        <v>P20S2A27</v>
      </c>
      <c r="I212" s="30"/>
      <c r="J212" s="30">
        <v>20</v>
      </c>
      <c r="K212" s="30">
        <v>2</v>
      </c>
      <c r="L212" s="30">
        <v>27</v>
      </c>
      <c r="M212" s="31">
        <v>1804</v>
      </c>
      <c r="O212" s="30" t="str">
        <f t="shared" si="26"/>
        <v>P00SA00</v>
      </c>
      <c r="P212" s="30"/>
      <c r="Q212" s="30"/>
      <c r="R212" s="30"/>
      <c r="S212" s="30"/>
      <c r="T212" s="31"/>
      <c r="V212" s="30" t="str">
        <f t="shared" si="27"/>
        <v>P00SA00</v>
      </c>
      <c r="W212" s="30"/>
      <c r="X212" s="30"/>
      <c r="Y212" s="30"/>
      <c r="Z212" s="30"/>
      <c r="AA212" s="31"/>
      <c r="AC212" s="144" t="str">
        <f t="shared" si="24"/>
        <v>P20S1A46</v>
      </c>
      <c r="AD212" s="144"/>
      <c r="AE212" s="144">
        <v>20</v>
      </c>
      <c r="AF212" s="144">
        <v>1</v>
      </c>
      <c r="AG212" s="144">
        <v>46</v>
      </c>
      <c r="AH212" s="145">
        <v>800</v>
      </c>
      <c r="AJ212" s="142" t="str">
        <f t="shared" si="28"/>
        <v>P15S2A16</v>
      </c>
      <c r="AK212" s="142"/>
      <c r="AL212" s="142">
        <v>15</v>
      </c>
      <c r="AM212" s="142">
        <v>2</v>
      </c>
      <c r="AN212" s="142">
        <v>16</v>
      </c>
      <c r="AO212" s="143">
        <v>889</v>
      </c>
    </row>
    <row r="213" spans="8:41">
      <c r="H213" s="30" t="str">
        <f t="shared" si="25"/>
        <v>P20S2A28</v>
      </c>
      <c r="I213" s="30"/>
      <c r="J213" s="30">
        <v>20</v>
      </c>
      <c r="K213" s="30">
        <v>2</v>
      </c>
      <c r="L213" s="30">
        <v>28</v>
      </c>
      <c r="M213" s="31">
        <v>1818</v>
      </c>
      <c r="O213" s="30" t="str">
        <f t="shared" si="26"/>
        <v>P00SA00</v>
      </c>
      <c r="P213" s="30"/>
      <c r="Q213" s="30"/>
      <c r="R213" s="30"/>
      <c r="S213" s="30"/>
      <c r="T213" s="31"/>
      <c r="V213" s="30" t="str">
        <f t="shared" si="27"/>
        <v>P00SA00</v>
      </c>
      <c r="W213" s="30"/>
      <c r="X213" s="30"/>
      <c r="Y213" s="30"/>
      <c r="Z213" s="30"/>
      <c r="AA213" s="31"/>
      <c r="AC213" s="144" t="str">
        <f t="shared" si="24"/>
        <v>P20S1A47</v>
      </c>
      <c r="AD213" s="144"/>
      <c r="AE213" s="144">
        <v>20</v>
      </c>
      <c r="AF213" s="144">
        <v>1</v>
      </c>
      <c r="AG213" s="144">
        <v>47</v>
      </c>
      <c r="AH213" s="145">
        <v>807</v>
      </c>
      <c r="AJ213" s="142" t="str">
        <f t="shared" si="28"/>
        <v>P15S2A17</v>
      </c>
      <c r="AK213" s="142"/>
      <c r="AL213" s="142">
        <v>15</v>
      </c>
      <c r="AM213" s="142">
        <v>2</v>
      </c>
      <c r="AN213" s="142">
        <v>17</v>
      </c>
      <c r="AO213" s="143">
        <v>897</v>
      </c>
    </row>
    <row r="214" spans="8:41">
      <c r="H214" s="30" t="str">
        <f t="shared" si="25"/>
        <v>P20S2A29</v>
      </c>
      <c r="I214" s="30"/>
      <c r="J214" s="30">
        <v>20</v>
      </c>
      <c r="K214" s="30">
        <v>2</v>
      </c>
      <c r="L214" s="30">
        <v>29</v>
      </c>
      <c r="M214" s="31">
        <v>1832</v>
      </c>
      <c r="O214" s="30" t="str">
        <f t="shared" si="26"/>
        <v>P00SA00</v>
      </c>
      <c r="P214" s="30"/>
      <c r="Q214" s="30"/>
      <c r="R214" s="30"/>
      <c r="S214" s="30"/>
      <c r="T214" s="31"/>
      <c r="V214" s="30" t="str">
        <f t="shared" si="27"/>
        <v>P00SA00</v>
      </c>
      <c r="W214" s="30"/>
      <c r="X214" s="30"/>
      <c r="Y214" s="30"/>
      <c r="Z214" s="30"/>
      <c r="AA214" s="31"/>
      <c r="AC214" s="144" t="str">
        <f t="shared" si="24"/>
        <v>P20S1A48</v>
      </c>
      <c r="AD214" s="144"/>
      <c r="AE214" s="144">
        <v>20</v>
      </c>
      <c r="AF214" s="144">
        <v>1</v>
      </c>
      <c r="AG214" s="144">
        <v>48</v>
      </c>
      <c r="AH214" s="145">
        <v>813</v>
      </c>
      <c r="AJ214" s="142" t="str">
        <f t="shared" si="28"/>
        <v>P15S2A18</v>
      </c>
      <c r="AK214" s="142"/>
      <c r="AL214" s="142">
        <v>15</v>
      </c>
      <c r="AM214" s="142">
        <v>2</v>
      </c>
      <c r="AN214" s="142">
        <v>18</v>
      </c>
      <c r="AO214" s="143">
        <v>906</v>
      </c>
    </row>
    <row r="215" spans="8:41">
      <c r="H215" s="30" t="str">
        <f t="shared" si="25"/>
        <v>P20S2A30</v>
      </c>
      <c r="I215" s="30"/>
      <c r="J215" s="30">
        <v>20</v>
      </c>
      <c r="K215" s="30">
        <v>2</v>
      </c>
      <c r="L215" s="30">
        <v>30</v>
      </c>
      <c r="M215" s="31">
        <v>1844</v>
      </c>
      <c r="O215" s="30" t="str">
        <f t="shared" si="26"/>
        <v>P00SA00</v>
      </c>
      <c r="P215" s="30"/>
      <c r="Q215" s="30"/>
      <c r="R215" s="30"/>
      <c r="S215" s="30"/>
      <c r="T215" s="31"/>
      <c r="V215" s="30" t="str">
        <f t="shared" si="27"/>
        <v>P00SA00</v>
      </c>
      <c r="W215" s="30"/>
      <c r="X215" s="30"/>
      <c r="Y215" s="30"/>
      <c r="Z215" s="30"/>
      <c r="AA215" s="31"/>
      <c r="AC215" s="144" t="str">
        <f t="shared" si="24"/>
        <v>P20S1A49</v>
      </c>
      <c r="AD215" s="144"/>
      <c r="AE215" s="144">
        <v>20</v>
      </c>
      <c r="AF215" s="144">
        <v>1</v>
      </c>
      <c r="AG215" s="144">
        <v>49</v>
      </c>
      <c r="AH215" s="145">
        <v>820</v>
      </c>
      <c r="AJ215" s="142" t="str">
        <f t="shared" si="28"/>
        <v>P15S2A19</v>
      </c>
      <c r="AK215" s="142"/>
      <c r="AL215" s="142">
        <v>15</v>
      </c>
      <c r="AM215" s="142">
        <v>2</v>
      </c>
      <c r="AN215" s="142">
        <v>19</v>
      </c>
      <c r="AO215" s="143">
        <v>915</v>
      </c>
    </row>
    <row r="216" spans="8:41">
      <c r="H216" s="30" t="str">
        <f t="shared" si="25"/>
        <v>P20S2A31</v>
      </c>
      <c r="I216" s="30"/>
      <c r="J216" s="30">
        <v>20</v>
      </c>
      <c r="K216" s="30">
        <v>2</v>
      </c>
      <c r="L216" s="30">
        <v>31</v>
      </c>
      <c r="M216" s="31">
        <v>1872</v>
      </c>
      <c r="O216" s="30" t="str">
        <f t="shared" si="26"/>
        <v>P00SA00</v>
      </c>
      <c r="P216" s="30"/>
      <c r="Q216" s="30"/>
      <c r="R216" s="30"/>
      <c r="S216" s="30"/>
      <c r="T216" s="31"/>
      <c r="V216" s="30" t="str">
        <f t="shared" si="27"/>
        <v>P00SA00</v>
      </c>
      <c r="W216" s="30"/>
      <c r="X216" s="30"/>
      <c r="Y216" s="30"/>
      <c r="Z216" s="30"/>
      <c r="AA216" s="31"/>
      <c r="AC216" s="144" t="str">
        <f t="shared" si="24"/>
        <v>P20S1A50</v>
      </c>
      <c r="AD216" s="144"/>
      <c r="AE216" s="144">
        <v>20</v>
      </c>
      <c r="AF216" s="144">
        <v>1</v>
      </c>
      <c r="AG216" s="144">
        <v>50</v>
      </c>
      <c r="AH216" s="145">
        <v>825</v>
      </c>
      <c r="AJ216" s="142" t="str">
        <f t="shared" si="28"/>
        <v>P15S2A20</v>
      </c>
      <c r="AK216" s="142"/>
      <c r="AL216" s="142">
        <v>15</v>
      </c>
      <c r="AM216" s="142">
        <v>2</v>
      </c>
      <c r="AN216" s="142">
        <v>20</v>
      </c>
      <c r="AO216" s="143">
        <v>924</v>
      </c>
    </row>
    <row r="217" spans="8:41">
      <c r="H217" s="30" t="str">
        <f t="shared" si="25"/>
        <v>P20S2A32</v>
      </c>
      <c r="I217" s="30"/>
      <c r="J217" s="30">
        <v>20</v>
      </c>
      <c r="K217" s="30">
        <v>2</v>
      </c>
      <c r="L217" s="30">
        <v>32</v>
      </c>
      <c r="M217" s="31">
        <v>1900</v>
      </c>
      <c r="O217" s="30" t="str">
        <f t="shared" si="26"/>
        <v>P00SA00</v>
      </c>
      <c r="P217" s="30"/>
      <c r="Q217" s="30"/>
      <c r="R217" s="30"/>
      <c r="S217" s="30"/>
      <c r="T217" s="31"/>
      <c r="V217" s="30" t="str">
        <f t="shared" si="27"/>
        <v>P00SA00</v>
      </c>
      <c r="W217" s="30"/>
      <c r="X217" s="30"/>
      <c r="Y217" s="30"/>
      <c r="Z217" s="30"/>
      <c r="AA217" s="31"/>
      <c r="AC217" s="144" t="str">
        <f t="shared" si="24"/>
        <v>P20S1A51</v>
      </c>
      <c r="AD217" s="144"/>
      <c r="AE217" s="144">
        <v>20</v>
      </c>
      <c r="AF217" s="144">
        <v>1</v>
      </c>
      <c r="AG217" s="144">
        <v>51</v>
      </c>
      <c r="AH217" s="145">
        <v>832</v>
      </c>
      <c r="AJ217" s="142" t="str">
        <f t="shared" si="28"/>
        <v>P15S2A21</v>
      </c>
      <c r="AK217" s="142"/>
      <c r="AL217" s="142">
        <v>15</v>
      </c>
      <c r="AM217" s="142">
        <v>2</v>
      </c>
      <c r="AN217" s="142">
        <v>21</v>
      </c>
      <c r="AO217" s="143">
        <v>933</v>
      </c>
    </row>
    <row r="218" spans="8:41">
      <c r="H218" s="30" t="str">
        <f t="shared" si="25"/>
        <v>P20S2A33</v>
      </c>
      <c r="I218" s="30"/>
      <c r="J218" s="30">
        <v>20</v>
      </c>
      <c r="K218" s="30">
        <v>2</v>
      </c>
      <c r="L218" s="30">
        <v>33</v>
      </c>
      <c r="M218" s="31">
        <v>1929</v>
      </c>
      <c r="O218" s="30" t="str">
        <f t="shared" si="26"/>
        <v>P00SA00</v>
      </c>
      <c r="P218" s="30"/>
      <c r="Q218" s="30"/>
      <c r="R218" s="30"/>
      <c r="S218" s="30"/>
      <c r="T218" s="31"/>
      <c r="V218" s="30" t="str">
        <f t="shared" si="27"/>
        <v>P00SA00</v>
      </c>
      <c r="W218" s="30"/>
      <c r="X218" s="30"/>
      <c r="Y218" s="30"/>
      <c r="Z218" s="30"/>
      <c r="AA218" s="31"/>
      <c r="AC218" s="144" t="str">
        <f t="shared" si="24"/>
        <v>P20S1A52</v>
      </c>
      <c r="AD218" s="144"/>
      <c r="AE218" s="144">
        <v>20</v>
      </c>
      <c r="AF218" s="144">
        <v>1</v>
      </c>
      <c r="AG218" s="144">
        <v>52</v>
      </c>
      <c r="AH218" s="145">
        <v>838</v>
      </c>
      <c r="AJ218" s="142" t="str">
        <f t="shared" si="28"/>
        <v>P15S2A22</v>
      </c>
      <c r="AK218" s="142"/>
      <c r="AL218" s="142">
        <v>15</v>
      </c>
      <c r="AM218" s="142">
        <v>2</v>
      </c>
      <c r="AN218" s="142">
        <v>22</v>
      </c>
      <c r="AO218" s="143">
        <v>942</v>
      </c>
    </row>
    <row r="219" spans="8:41">
      <c r="H219" s="30" t="str">
        <f t="shared" si="25"/>
        <v>P20S2A34</v>
      </c>
      <c r="I219" s="30"/>
      <c r="J219" s="30">
        <v>20</v>
      </c>
      <c r="K219" s="30">
        <v>2</v>
      </c>
      <c r="L219" s="30">
        <v>34</v>
      </c>
      <c r="M219" s="31">
        <v>1961</v>
      </c>
      <c r="O219" s="30" t="str">
        <f t="shared" si="26"/>
        <v>P00SA00</v>
      </c>
      <c r="P219" s="30"/>
      <c r="Q219" s="30"/>
      <c r="R219" s="30"/>
      <c r="S219" s="30"/>
      <c r="T219" s="31"/>
      <c r="V219" s="30" t="str">
        <f t="shared" si="27"/>
        <v>P00SA00</v>
      </c>
      <c r="W219" s="30"/>
      <c r="X219" s="30"/>
      <c r="Y219" s="30"/>
      <c r="Z219" s="30"/>
      <c r="AA219" s="31"/>
      <c r="AC219" s="144" t="str">
        <f t="shared" si="24"/>
        <v>P20S1A53</v>
      </c>
      <c r="AD219" s="144"/>
      <c r="AE219" s="144">
        <v>20</v>
      </c>
      <c r="AF219" s="144">
        <v>1</v>
      </c>
      <c r="AG219" s="144">
        <v>53</v>
      </c>
      <c r="AH219" s="145">
        <v>842</v>
      </c>
      <c r="AJ219" s="142" t="str">
        <f t="shared" si="28"/>
        <v>P15S2A23</v>
      </c>
      <c r="AK219" s="142"/>
      <c r="AL219" s="142">
        <v>15</v>
      </c>
      <c r="AM219" s="142">
        <v>2</v>
      </c>
      <c r="AN219" s="142">
        <v>23</v>
      </c>
      <c r="AO219" s="143">
        <v>952</v>
      </c>
    </row>
    <row r="220" spans="8:41">
      <c r="H220" s="30" t="str">
        <f t="shared" si="25"/>
        <v>P20S2A35</v>
      </c>
      <c r="I220" s="30"/>
      <c r="J220" s="30">
        <v>20</v>
      </c>
      <c r="K220" s="30">
        <v>2</v>
      </c>
      <c r="L220" s="30">
        <v>35</v>
      </c>
      <c r="M220" s="31">
        <v>1996</v>
      </c>
      <c r="O220" s="30" t="str">
        <f t="shared" si="26"/>
        <v>P00SA00</v>
      </c>
      <c r="P220" s="30"/>
      <c r="Q220" s="30"/>
      <c r="R220" s="30"/>
      <c r="S220" s="30"/>
      <c r="T220" s="31"/>
      <c r="V220" s="30" t="str">
        <f t="shared" si="27"/>
        <v>P00SA00</v>
      </c>
      <c r="W220" s="30"/>
      <c r="X220" s="30"/>
      <c r="Y220" s="30"/>
      <c r="Z220" s="30"/>
      <c r="AA220" s="31"/>
      <c r="AC220" s="144" t="str">
        <f t="shared" si="24"/>
        <v>P20S1A54</v>
      </c>
      <c r="AD220" s="144"/>
      <c r="AE220" s="144">
        <v>20</v>
      </c>
      <c r="AF220" s="144">
        <v>1</v>
      </c>
      <c r="AG220" s="144">
        <v>54</v>
      </c>
      <c r="AH220" s="145">
        <v>847</v>
      </c>
      <c r="AJ220" s="142" t="str">
        <f t="shared" si="28"/>
        <v>P15S2A24</v>
      </c>
      <c r="AK220" s="142"/>
      <c r="AL220" s="142">
        <v>15</v>
      </c>
      <c r="AM220" s="142">
        <v>2</v>
      </c>
      <c r="AN220" s="142">
        <v>24</v>
      </c>
      <c r="AO220" s="143">
        <v>961</v>
      </c>
    </row>
    <row r="221" spans="8:41">
      <c r="H221" s="30" t="str">
        <f t="shared" si="25"/>
        <v>P20S2A36</v>
      </c>
      <c r="I221" s="30"/>
      <c r="J221" s="30">
        <v>20</v>
      </c>
      <c r="K221" s="30">
        <v>2</v>
      </c>
      <c r="L221" s="30">
        <v>36</v>
      </c>
      <c r="M221" s="31">
        <v>2036</v>
      </c>
      <c r="O221" s="30" t="str">
        <f t="shared" si="26"/>
        <v>P00SA00</v>
      </c>
      <c r="P221" s="30"/>
      <c r="Q221" s="30"/>
      <c r="R221" s="30"/>
      <c r="S221" s="30"/>
      <c r="T221" s="31"/>
      <c r="V221" s="30" t="str">
        <f t="shared" si="27"/>
        <v>P00SA00</v>
      </c>
      <c r="W221" s="30"/>
      <c r="X221" s="30"/>
      <c r="Y221" s="30"/>
      <c r="Z221" s="30"/>
      <c r="AA221" s="31"/>
      <c r="AC221" s="144" t="str">
        <f t="shared" si="24"/>
        <v>P20S1A55</v>
      </c>
      <c r="AD221" s="144"/>
      <c r="AE221" s="144">
        <v>20</v>
      </c>
      <c r="AF221" s="144">
        <v>1</v>
      </c>
      <c r="AG221" s="144">
        <v>55</v>
      </c>
      <c r="AH221" s="145">
        <v>851</v>
      </c>
      <c r="AJ221" s="142" t="str">
        <f t="shared" si="28"/>
        <v>P15S2A25</v>
      </c>
      <c r="AK221" s="142"/>
      <c r="AL221" s="142">
        <v>15</v>
      </c>
      <c r="AM221" s="142">
        <v>2</v>
      </c>
      <c r="AN221" s="142">
        <v>25</v>
      </c>
      <c r="AO221" s="143">
        <v>971</v>
      </c>
    </row>
    <row r="222" spans="8:41">
      <c r="H222" s="30" t="str">
        <f t="shared" si="25"/>
        <v>P20S2A37</v>
      </c>
      <c r="I222" s="30"/>
      <c r="J222" s="30">
        <v>20</v>
      </c>
      <c r="K222" s="30">
        <v>2</v>
      </c>
      <c r="L222" s="30">
        <v>37</v>
      </c>
      <c r="M222" s="31">
        <v>2081</v>
      </c>
      <c r="O222" s="30" t="str">
        <f t="shared" si="26"/>
        <v>P00SA00</v>
      </c>
      <c r="P222" s="30"/>
      <c r="Q222" s="30"/>
      <c r="R222" s="30"/>
      <c r="S222" s="30"/>
      <c r="T222" s="31"/>
      <c r="V222" s="30" t="str">
        <f t="shared" si="27"/>
        <v>P00SA00</v>
      </c>
      <c r="W222" s="30"/>
      <c r="X222" s="30"/>
      <c r="Y222" s="30"/>
      <c r="Z222" s="30"/>
      <c r="AA222" s="31"/>
      <c r="AC222" s="144" t="str">
        <f t="shared" si="24"/>
        <v>P20S1A56</v>
      </c>
      <c r="AD222" s="144"/>
      <c r="AE222" s="144">
        <v>20</v>
      </c>
      <c r="AF222" s="144">
        <v>1</v>
      </c>
      <c r="AG222" s="144">
        <v>56</v>
      </c>
      <c r="AH222" s="145">
        <v>854</v>
      </c>
      <c r="AJ222" s="142" t="str">
        <f t="shared" si="28"/>
        <v>P15S2A26</v>
      </c>
      <c r="AK222" s="142"/>
      <c r="AL222" s="142">
        <v>15</v>
      </c>
      <c r="AM222" s="142">
        <v>2</v>
      </c>
      <c r="AN222" s="142">
        <v>26</v>
      </c>
      <c r="AO222" s="143">
        <v>980</v>
      </c>
    </row>
    <row r="223" spans="8:41">
      <c r="H223" s="30" t="str">
        <f t="shared" si="25"/>
        <v>P20S2A38</v>
      </c>
      <c r="I223" s="30"/>
      <c r="J223" s="30">
        <v>20</v>
      </c>
      <c r="K223" s="30">
        <v>2</v>
      </c>
      <c r="L223" s="30">
        <v>38</v>
      </c>
      <c r="M223" s="31">
        <v>2132</v>
      </c>
      <c r="O223" s="30" t="str">
        <f t="shared" si="26"/>
        <v>P00SA00</v>
      </c>
      <c r="P223" s="30"/>
      <c r="Q223" s="30"/>
      <c r="R223" s="30"/>
      <c r="S223" s="30"/>
      <c r="T223" s="31"/>
      <c r="V223" s="30" t="str">
        <f t="shared" si="27"/>
        <v>P00SA00</v>
      </c>
      <c r="W223" s="30"/>
      <c r="X223" s="30"/>
      <c r="Y223" s="30"/>
      <c r="Z223" s="30"/>
      <c r="AA223" s="31"/>
      <c r="AC223" s="144" t="str">
        <f t="shared" si="24"/>
        <v>P20S1A57</v>
      </c>
      <c r="AD223" s="144"/>
      <c r="AE223" s="144">
        <v>20</v>
      </c>
      <c r="AF223" s="144">
        <v>1</v>
      </c>
      <c r="AG223" s="144">
        <v>57</v>
      </c>
      <c r="AH223" s="145">
        <v>856</v>
      </c>
      <c r="AJ223" s="142" t="str">
        <f t="shared" si="28"/>
        <v>P15S2A27</v>
      </c>
      <c r="AK223" s="142"/>
      <c r="AL223" s="142">
        <v>15</v>
      </c>
      <c r="AM223" s="142">
        <v>2</v>
      </c>
      <c r="AN223" s="142">
        <v>27</v>
      </c>
      <c r="AO223" s="143">
        <v>990</v>
      </c>
    </row>
    <row r="224" spans="8:41">
      <c r="H224" s="30" t="str">
        <f t="shared" si="25"/>
        <v>P20S2A39</v>
      </c>
      <c r="I224" s="30"/>
      <c r="J224" s="30">
        <v>20</v>
      </c>
      <c r="K224" s="30">
        <v>2</v>
      </c>
      <c r="L224" s="30">
        <v>39</v>
      </c>
      <c r="M224" s="31">
        <v>2189</v>
      </c>
      <c r="O224" s="30" t="str">
        <f t="shared" si="26"/>
        <v>P00SA00</v>
      </c>
      <c r="P224" s="30"/>
      <c r="Q224" s="30"/>
      <c r="R224" s="30"/>
      <c r="S224" s="30"/>
      <c r="T224" s="31"/>
      <c r="V224" s="30" t="str">
        <f t="shared" si="27"/>
        <v>P00SA00</v>
      </c>
      <c r="W224" s="30"/>
      <c r="X224" s="30"/>
      <c r="Y224" s="30"/>
      <c r="Z224" s="30"/>
      <c r="AA224" s="31"/>
      <c r="AC224" s="144" t="str">
        <f t="shared" si="24"/>
        <v>P20S1A58</v>
      </c>
      <c r="AD224" s="144"/>
      <c r="AE224" s="144">
        <v>20</v>
      </c>
      <c r="AF224" s="144">
        <v>1</v>
      </c>
      <c r="AG224" s="144">
        <v>58</v>
      </c>
      <c r="AH224" s="145">
        <v>859</v>
      </c>
      <c r="AJ224" s="142" t="str">
        <f t="shared" si="28"/>
        <v>P15S2A28</v>
      </c>
      <c r="AK224" s="142"/>
      <c r="AL224" s="142">
        <v>15</v>
      </c>
      <c r="AM224" s="142">
        <v>2</v>
      </c>
      <c r="AN224" s="142">
        <v>28</v>
      </c>
      <c r="AO224" s="143">
        <v>1000</v>
      </c>
    </row>
    <row r="225" spans="8:41">
      <c r="H225" s="30" t="str">
        <f t="shared" si="25"/>
        <v>P20S2A40</v>
      </c>
      <c r="I225" s="30"/>
      <c r="J225" s="30">
        <v>20</v>
      </c>
      <c r="K225" s="30">
        <v>2</v>
      </c>
      <c r="L225" s="30">
        <v>40</v>
      </c>
      <c r="M225" s="31">
        <v>2258</v>
      </c>
      <c r="O225" s="30" t="str">
        <f t="shared" si="26"/>
        <v>P00SA00</v>
      </c>
      <c r="P225" s="30"/>
      <c r="Q225" s="30"/>
      <c r="R225" s="30"/>
      <c r="S225" s="30"/>
      <c r="T225" s="31"/>
      <c r="V225" s="30" t="str">
        <f t="shared" si="27"/>
        <v>P00SA00</v>
      </c>
      <c r="W225" s="30"/>
      <c r="X225" s="30"/>
      <c r="Y225" s="30"/>
      <c r="Z225" s="30"/>
      <c r="AA225" s="31"/>
      <c r="AC225" s="144" t="str">
        <f t="shared" si="24"/>
        <v>P20S1A59</v>
      </c>
      <c r="AD225" s="144"/>
      <c r="AE225" s="144">
        <v>20</v>
      </c>
      <c r="AF225" s="144">
        <v>1</v>
      </c>
      <c r="AG225" s="144">
        <v>59</v>
      </c>
      <c r="AH225" s="145">
        <v>860</v>
      </c>
      <c r="AJ225" s="142" t="str">
        <f t="shared" si="28"/>
        <v>P15S2A29</v>
      </c>
      <c r="AK225" s="142"/>
      <c r="AL225" s="142">
        <v>15</v>
      </c>
      <c r="AM225" s="142">
        <v>2</v>
      </c>
      <c r="AN225" s="142">
        <v>29</v>
      </c>
      <c r="AO225" s="143">
        <v>1002</v>
      </c>
    </row>
    <row r="226" spans="8:41">
      <c r="H226" s="30" t="str">
        <f t="shared" si="25"/>
        <v>P20S2A41</v>
      </c>
      <c r="I226" s="30"/>
      <c r="J226" s="30">
        <v>20</v>
      </c>
      <c r="K226" s="30">
        <v>2</v>
      </c>
      <c r="L226" s="30">
        <v>41</v>
      </c>
      <c r="M226" s="31">
        <v>2300</v>
      </c>
      <c r="O226" s="30" t="str">
        <f t="shared" si="26"/>
        <v>P00SA00</v>
      </c>
      <c r="P226" s="30"/>
      <c r="Q226" s="30"/>
      <c r="R226" s="30"/>
      <c r="S226" s="30"/>
      <c r="T226" s="31"/>
      <c r="V226" s="30" t="str">
        <f t="shared" si="27"/>
        <v>P00SA00</v>
      </c>
      <c r="W226" s="30"/>
      <c r="X226" s="30"/>
      <c r="Y226" s="30"/>
      <c r="Z226" s="30"/>
      <c r="AA226" s="31"/>
      <c r="AC226" s="144" t="str">
        <f t="shared" si="24"/>
        <v>P20S1A60</v>
      </c>
      <c r="AD226" s="144"/>
      <c r="AE226" s="144">
        <v>20</v>
      </c>
      <c r="AF226" s="144">
        <v>1</v>
      </c>
      <c r="AG226" s="144">
        <v>60</v>
      </c>
      <c r="AH226" s="145">
        <v>862</v>
      </c>
      <c r="AJ226" s="142" t="str">
        <f t="shared" si="28"/>
        <v>P15S2A30</v>
      </c>
      <c r="AK226" s="142"/>
      <c r="AL226" s="142">
        <v>15</v>
      </c>
      <c r="AM226" s="142">
        <v>2</v>
      </c>
      <c r="AN226" s="142">
        <v>30</v>
      </c>
      <c r="AO226" s="143">
        <v>1004</v>
      </c>
    </row>
    <row r="227" spans="8:41">
      <c r="H227" s="30" t="str">
        <f t="shared" si="25"/>
        <v>P20S2A42</v>
      </c>
      <c r="I227" s="30"/>
      <c r="J227" s="30">
        <v>20</v>
      </c>
      <c r="K227" s="30">
        <v>2</v>
      </c>
      <c r="L227" s="30">
        <v>42</v>
      </c>
      <c r="M227" s="31">
        <v>2347</v>
      </c>
      <c r="O227" s="30" t="str">
        <f t="shared" si="26"/>
        <v>P00SA00</v>
      </c>
      <c r="P227" s="30"/>
      <c r="Q227" s="30"/>
      <c r="R227" s="30"/>
      <c r="S227" s="30"/>
      <c r="T227" s="31"/>
      <c r="V227" s="30" t="str">
        <f t="shared" si="27"/>
        <v>P00SA00</v>
      </c>
      <c r="W227" s="30"/>
      <c r="X227" s="30"/>
      <c r="Y227" s="30"/>
      <c r="Z227" s="30"/>
      <c r="AA227" s="31"/>
      <c r="AC227" s="144" t="str">
        <f t="shared" si="24"/>
        <v>P20S1A61</v>
      </c>
      <c r="AD227" s="144"/>
      <c r="AE227" s="144">
        <v>20</v>
      </c>
      <c r="AF227" s="144">
        <v>1</v>
      </c>
      <c r="AG227" s="144">
        <v>61</v>
      </c>
      <c r="AH227" s="145">
        <v>866</v>
      </c>
      <c r="AJ227" s="142" t="str">
        <f t="shared" si="28"/>
        <v>P15S2A31</v>
      </c>
      <c r="AK227" s="142"/>
      <c r="AL227" s="142">
        <v>15</v>
      </c>
      <c r="AM227" s="142">
        <v>2</v>
      </c>
      <c r="AN227" s="142">
        <v>31</v>
      </c>
      <c r="AO227" s="143">
        <v>1014</v>
      </c>
    </row>
    <row r="228" spans="8:41">
      <c r="H228" s="30" t="str">
        <f t="shared" si="25"/>
        <v>P20S2A43</v>
      </c>
      <c r="I228" s="30"/>
      <c r="J228" s="30">
        <v>20</v>
      </c>
      <c r="K228" s="30">
        <v>2</v>
      </c>
      <c r="L228" s="30">
        <v>43</v>
      </c>
      <c r="M228" s="31">
        <v>2400</v>
      </c>
      <c r="O228" s="30" t="str">
        <f t="shared" si="26"/>
        <v>P00SA00</v>
      </c>
      <c r="P228" s="30"/>
      <c r="Q228" s="30"/>
      <c r="R228" s="30"/>
      <c r="S228" s="30"/>
      <c r="T228" s="31"/>
      <c r="V228" s="30" t="str">
        <f t="shared" si="27"/>
        <v>P00SA00</v>
      </c>
      <c r="W228" s="30"/>
      <c r="X228" s="30"/>
      <c r="Y228" s="30"/>
      <c r="Z228" s="30"/>
      <c r="AA228" s="31"/>
      <c r="AC228" s="144" t="str">
        <f t="shared" si="24"/>
        <v>P20S1A62</v>
      </c>
      <c r="AD228" s="144"/>
      <c r="AE228" s="144">
        <v>20</v>
      </c>
      <c r="AF228" s="144">
        <v>1</v>
      </c>
      <c r="AG228" s="144">
        <v>62</v>
      </c>
      <c r="AH228" s="145">
        <v>866</v>
      </c>
      <c r="AJ228" s="142" t="str">
        <f t="shared" si="28"/>
        <v>P15S2A32</v>
      </c>
      <c r="AK228" s="142"/>
      <c r="AL228" s="142">
        <v>15</v>
      </c>
      <c r="AM228" s="142">
        <v>2</v>
      </c>
      <c r="AN228" s="142">
        <v>32</v>
      </c>
      <c r="AO228" s="143">
        <v>1024</v>
      </c>
    </row>
    <row r="229" spans="8:41">
      <c r="H229" s="30" t="str">
        <f t="shared" si="25"/>
        <v>P20S2A44</v>
      </c>
      <c r="I229" s="30"/>
      <c r="J229" s="30">
        <v>20</v>
      </c>
      <c r="K229" s="30">
        <v>2</v>
      </c>
      <c r="L229" s="30">
        <v>44</v>
      </c>
      <c r="M229" s="31">
        <v>2456</v>
      </c>
      <c r="O229" s="30" t="str">
        <f t="shared" si="26"/>
        <v>P00SA00</v>
      </c>
      <c r="P229" s="30"/>
      <c r="Q229" s="30"/>
      <c r="R229" s="30"/>
      <c r="S229" s="30"/>
      <c r="T229" s="31"/>
      <c r="V229" s="30" t="str">
        <f t="shared" si="27"/>
        <v>P00SA00</v>
      </c>
      <c r="W229" s="30"/>
      <c r="X229" s="30"/>
      <c r="Y229" s="30"/>
      <c r="Z229" s="30"/>
      <c r="AA229" s="31"/>
      <c r="AC229" s="144" t="str">
        <f t="shared" si="24"/>
        <v>P20S1A63</v>
      </c>
      <c r="AD229" s="144"/>
      <c r="AE229" s="144">
        <v>20</v>
      </c>
      <c r="AF229" s="144">
        <v>1</v>
      </c>
      <c r="AG229" s="144">
        <v>63</v>
      </c>
      <c r="AH229" s="145">
        <v>866</v>
      </c>
      <c r="AJ229" s="142" t="str">
        <f t="shared" si="28"/>
        <v>P15S2A33</v>
      </c>
      <c r="AK229" s="142"/>
      <c r="AL229" s="142">
        <v>15</v>
      </c>
      <c r="AM229" s="142">
        <v>2</v>
      </c>
      <c r="AN229" s="142">
        <v>33</v>
      </c>
      <c r="AO229" s="143">
        <v>1034</v>
      </c>
    </row>
    <row r="230" spans="8:41">
      <c r="H230" s="30" t="str">
        <f t="shared" si="25"/>
        <v>P20S2A45</v>
      </c>
      <c r="I230" s="30"/>
      <c r="J230" s="30">
        <v>20</v>
      </c>
      <c r="K230" s="30">
        <v>2</v>
      </c>
      <c r="L230" s="30">
        <v>45</v>
      </c>
      <c r="M230" s="31">
        <v>2519</v>
      </c>
      <c r="O230" s="30" t="str">
        <f t="shared" si="26"/>
        <v>P00SA00</v>
      </c>
      <c r="P230" s="30"/>
      <c r="Q230" s="30"/>
      <c r="R230" s="30"/>
      <c r="S230" s="30"/>
      <c r="T230" s="31"/>
      <c r="V230" s="30" t="str">
        <f t="shared" si="27"/>
        <v>P00SA00</v>
      </c>
      <c r="W230" s="30"/>
      <c r="X230" s="30"/>
      <c r="Y230" s="30"/>
      <c r="Z230" s="30"/>
      <c r="AA230" s="31"/>
      <c r="AC230" s="144" t="str">
        <f t="shared" si="24"/>
        <v>P20S1A64</v>
      </c>
      <c r="AD230" s="144"/>
      <c r="AE230" s="144">
        <v>20</v>
      </c>
      <c r="AF230" s="144">
        <v>1</v>
      </c>
      <c r="AG230" s="144">
        <v>64</v>
      </c>
      <c r="AH230" s="145">
        <v>871</v>
      </c>
      <c r="AJ230" s="142" t="str">
        <f t="shared" si="28"/>
        <v>P15S2A34</v>
      </c>
      <c r="AK230" s="142"/>
      <c r="AL230" s="142">
        <v>15</v>
      </c>
      <c r="AM230" s="142">
        <v>2</v>
      </c>
      <c r="AN230" s="142">
        <v>34</v>
      </c>
      <c r="AO230" s="143">
        <v>1043</v>
      </c>
    </row>
    <row r="231" spans="8:41">
      <c r="H231" s="30" t="str">
        <f t="shared" si="25"/>
        <v>P20S2A46</v>
      </c>
      <c r="I231" s="30"/>
      <c r="J231" s="30">
        <v>20</v>
      </c>
      <c r="K231" s="30">
        <v>2</v>
      </c>
      <c r="L231" s="30">
        <v>46</v>
      </c>
      <c r="M231" s="31">
        <v>2585</v>
      </c>
      <c r="O231" s="30" t="str">
        <f t="shared" si="26"/>
        <v>P00SA00</v>
      </c>
      <c r="P231" s="30"/>
      <c r="Q231" s="30"/>
      <c r="R231" s="30"/>
      <c r="S231" s="30"/>
      <c r="T231" s="31"/>
      <c r="V231" s="30" t="str">
        <f t="shared" si="27"/>
        <v>P00SA00</v>
      </c>
      <c r="W231" s="30"/>
      <c r="X231" s="30"/>
      <c r="Y231" s="30"/>
      <c r="Z231" s="30"/>
      <c r="AA231" s="31"/>
      <c r="AC231" s="144" t="str">
        <f t="shared" si="24"/>
        <v>P20S1A65</v>
      </c>
      <c r="AD231" s="144"/>
      <c r="AE231" s="144">
        <v>20</v>
      </c>
      <c r="AF231" s="144">
        <v>1</v>
      </c>
      <c r="AG231" s="144">
        <v>65</v>
      </c>
      <c r="AH231" s="145">
        <v>876</v>
      </c>
      <c r="AJ231" s="142" t="str">
        <f t="shared" si="28"/>
        <v>P15S2A35</v>
      </c>
      <c r="AK231" s="142"/>
      <c r="AL231" s="142">
        <v>15</v>
      </c>
      <c r="AM231" s="142">
        <v>2</v>
      </c>
      <c r="AN231" s="142">
        <v>35</v>
      </c>
      <c r="AO231" s="143">
        <v>1047</v>
      </c>
    </row>
    <row r="232" spans="8:41">
      <c r="H232" s="30" t="str">
        <f t="shared" si="25"/>
        <v>P20S2A47</v>
      </c>
      <c r="I232" s="30"/>
      <c r="J232" s="30">
        <v>20</v>
      </c>
      <c r="K232" s="30">
        <v>2</v>
      </c>
      <c r="L232" s="30">
        <v>47</v>
      </c>
      <c r="M232" s="31">
        <v>2655</v>
      </c>
      <c r="O232" s="30" t="str">
        <f t="shared" si="26"/>
        <v>P00SA00</v>
      </c>
      <c r="P232" s="30"/>
      <c r="Q232" s="30"/>
      <c r="R232" s="30"/>
      <c r="S232" s="30"/>
      <c r="T232" s="31"/>
      <c r="V232" s="30" t="str">
        <f t="shared" si="27"/>
        <v>P00SA00</v>
      </c>
      <c r="W232" s="30"/>
      <c r="X232" s="30"/>
      <c r="Y232" s="30"/>
      <c r="Z232" s="30"/>
      <c r="AA232" s="31"/>
      <c r="AC232" s="144" t="str">
        <f t="shared" si="24"/>
        <v>P20S2A20</v>
      </c>
      <c r="AD232" s="144"/>
      <c r="AE232" s="144">
        <v>20</v>
      </c>
      <c r="AF232" s="144">
        <v>2</v>
      </c>
      <c r="AG232" s="144">
        <v>20</v>
      </c>
      <c r="AH232" s="145">
        <v>747</v>
      </c>
      <c r="AJ232" s="142" t="str">
        <f t="shared" si="28"/>
        <v>P15S2A36</v>
      </c>
      <c r="AK232" s="142"/>
      <c r="AL232" s="142">
        <v>15</v>
      </c>
      <c r="AM232" s="142">
        <v>2</v>
      </c>
      <c r="AN232" s="142">
        <v>36</v>
      </c>
      <c r="AO232" s="143">
        <v>1049</v>
      </c>
    </row>
    <row r="233" spans="8:41">
      <c r="H233" s="30" t="str">
        <f t="shared" si="25"/>
        <v>P20S2A48</v>
      </c>
      <c r="I233" s="30"/>
      <c r="J233" s="30">
        <v>20</v>
      </c>
      <c r="K233" s="30">
        <v>2</v>
      </c>
      <c r="L233" s="30">
        <v>48</v>
      </c>
      <c r="M233" s="31">
        <v>2727</v>
      </c>
      <c r="O233" s="30" t="str">
        <f t="shared" si="26"/>
        <v>P00SA00</v>
      </c>
      <c r="P233" s="30"/>
      <c r="Q233" s="30"/>
      <c r="R233" s="30"/>
      <c r="S233" s="30"/>
      <c r="T233" s="31"/>
      <c r="V233" s="30" t="str">
        <f t="shared" si="27"/>
        <v>P00SA00</v>
      </c>
      <c r="W233" s="30"/>
      <c r="X233" s="30"/>
      <c r="Y233" s="30"/>
      <c r="Z233" s="30"/>
      <c r="AA233" s="31"/>
      <c r="AC233" s="144" t="str">
        <f t="shared" si="24"/>
        <v>P20S2A21</v>
      </c>
      <c r="AD233" s="144"/>
      <c r="AE233" s="144">
        <v>20</v>
      </c>
      <c r="AF233" s="144">
        <v>2</v>
      </c>
      <c r="AG233" s="144">
        <v>21</v>
      </c>
      <c r="AH233" s="145">
        <v>755</v>
      </c>
      <c r="AJ233" s="142" t="str">
        <f t="shared" si="28"/>
        <v>P15S2A37</v>
      </c>
      <c r="AK233" s="142"/>
      <c r="AL233" s="142">
        <v>15</v>
      </c>
      <c r="AM233" s="142">
        <v>2</v>
      </c>
      <c r="AN233" s="142">
        <v>37</v>
      </c>
      <c r="AO233" s="143">
        <v>1059</v>
      </c>
    </row>
    <row r="234" spans="8:41">
      <c r="H234" s="30" t="str">
        <f t="shared" si="25"/>
        <v>P20S2A49</v>
      </c>
      <c r="I234" s="30"/>
      <c r="J234" s="30">
        <v>20</v>
      </c>
      <c r="K234" s="30">
        <v>2</v>
      </c>
      <c r="L234" s="30">
        <v>49</v>
      </c>
      <c r="M234" s="31">
        <v>2804</v>
      </c>
      <c r="O234" s="30" t="str">
        <f t="shared" si="26"/>
        <v>P00SA00</v>
      </c>
      <c r="P234" s="30"/>
      <c r="Q234" s="30"/>
      <c r="R234" s="30"/>
      <c r="S234" s="30"/>
      <c r="T234" s="31"/>
      <c r="V234" s="30" t="str">
        <f t="shared" si="27"/>
        <v>P00SA00</v>
      </c>
      <c r="W234" s="30"/>
      <c r="X234" s="30"/>
      <c r="Y234" s="30"/>
      <c r="Z234" s="30"/>
      <c r="AA234" s="31"/>
      <c r="AC234" s="144" t="str">
        <f t="shared" si="24"/>
        <v>P20S2A22</v>
      </c>
      <c r="AD234" s="144"/>
      <c r="AE234" s="144">
        <v>20</v>
      </c>
      <c r="AF234" s="144">
        <v>2</v>
      </c>
      <c r="AG234" s="144">
        <v>22</v>
      </c>
      <c r="AH234" s="145">
        <v>762</v>
      </c>
      <c r="AJ234" s="142" t="str">
        <f t="shared" si="28"/>
        <v>P15S2A38</v>
      </c>
      <c r="AK234" s="142"/>
      <c r="AL234" s="142">
        <v>15</v>
      </c>
      <c r="AM234" s="142">
        <v>2</v>
      </c>
      <c r="AN234" s="142">
        <v>38</v>
      </c>
      <c r="AO234" s="143">
        <v>1061</v>
      </c>
    </row>
    <row r="235" spans="8:41">
      <c r="H235" s="30" t="str">
        <f t="shared" si="25"/>
        <v>P20S2A50</v>
      </c>
      <c r="I235" s="30"/>
      <c r="J235" s="30">
        <v>20</v>
      </c>
      <c r="K235" s="30">
        <v>2</v>
      </c>
      <c r="L235" s="30">
        <v>50</v>
      </c>
      <c r="M235" s="31">
        <v>2883</v>
      </c>
      <c r="O235" s="30" t="str">
        <f t="shared" si="26"/>
        <v>P00SA00</v>
      </c>
      <c r="P235" s="30"/>
      <c r="Q235" s="30"/>
      <c r="R235" s="30"/>
      <c r="S235" s="30"/>
      <c r="T235" s="31"/>
      <c r="V235" s="30" t="str">
        <f t="shared" si="27"/>
        <v>P00SA00</v>
      </c>
      <c r="W235" s="30"/>
      <c r="X235" s="30"/>
      <c r="Y235" s="30"/>
      <c r="Z235" s="30"/>
      <c r="AA235" s="31"/>
      <c r="AC235" s="144" t="str">
        <f t="shared" si="24"/>
        <v>P20S2A23</v>
      </c>
      <c r="AD235" s="144"/>
      <c r="AE235" s="144">
        <v>20</v>
      </c>
      <c r="AF235" s="144">
        <v>2</v>
      </c>
      <c r="AG235" s="144">
        <v>23</v>
      </c>
      <c r="AH235" s="145">
        <v>770</v>
      </c>
      <c r="AJ235" s="142" t="str">
        <f t="shared" si="28"/>
        <v>P15S2A39</v>
      </c>
      <c r="AK235" s="142"/>
      <c r="AL235" s="142">
        <v>15</v>
      </c>
      <c r="AM235" s="142">
        <v>2</v>
      </c>
      <c r="AN235" s="142">
        <v>39</v>
      </c>
      <c r="AO235" s="143">
        <v>1071</v>
      </c>
    </row>
    <row r="236" spans="8:41">
      <c r="H236" s="30" t="str">
        <f t="shared" si="25"/>
        <v>P20S2A51</v>
      </c>
      <c r="I236" s="30"/>
      <c r="J236" s="30">
        <v>20</v>
      </c>
      <c r="K236" s="30">
        <v>2</v>
      </c>
      <c r="L236" s="30">
        <v>51</v>
      </c>
      <c r="M236" s="31">
        <v>2970</v>
      </c>
      <c r="O236" s="30" t="str">
        <f t="shared" si="26"/>
        <v>P00SA00</v>
      </c>
      <c r="P236" s="30"/>
      <c r="Q236" s="30"/>
      <c r="R236" s="30"/>
      <c r="S236" s="30"/>
      <c r="T236" s="31"/>
      <c r="V236" s="30" t="str">
        <f t="shared" si="27"/>
        <v>P00SA00</v>
      </c>
      <c r="W236" s="30"/>
      <c r="X236" s="30"/>
      <c r="Y236" s="30"/>
      <c r="Z236" s="30"/>
      <c r="AA236" s="31"/>
      <c r="AC236" s="144" t="str">
        <f t="shared" si="24"/>
        <v>P20S2A24</v>
      </c>
      <c r="AD236" s="144"/>
      <c r="AE236" s="144">
        <v>20</v>
      </c>
      <c r="AF236" s="144">
        <v>2</v>
      </c>
      <c r="AG236" s="144">
        <v>24</v>
      </c>
      <c r="AH236" s="145">
        <v>778</v>
      </c>
      <c r="AJ236" s="142" t="str">
        <f t="shared" si="28"/>
        <v>P15S2A40</v>
      </c>
      <c r="AK236" s="142"/>
      <c r="AL236" s="142">
        <v>15</v>
      </c>
      <c r="AM236" s="142">
        <v>2</v>
      </c>
      <c r="AN236" s="142">
        <v>40</v>
      </c>
      <c r="AO236" s="143">
        <v>1073</v>
      </c>
    </row>
    <row r="237" spans="8:41">
      <c r="H237" s="30" t="str">
        <f t="shared" si="25"/>
        <v>P20S2A52</v>
      </c>
      <c r="I237" s="30"/>
      <c r="J237" s="30">
        <v>20</v>
      </c>
      <c r="K237" s="30">
        <v>2</v>
      </c>
      <c r="L237" s="30">
        <v>52</v>
      </c>
      <c r="M237" s="31">
        <v>3066</v>
      </c>
      <c r="O237" s="30" t="str">
        <f t="shared" si="26"/>
        <v>P00SA00</v>
      </c>
      <c r="P237" s="30"/>
      <c r="Q237" s="30"/>
      <c r="R237" s="30"/>
      <c r="S237" s="30"/>
      <c r="T237" s="31"/>
      <c r="V237" s="30" t="str">
        <f t="shared" si="27"/>
        <v>P00SA00</v>
      </c>
      <c r="W237" s="30"/>
      <c r="X237" s="30"/>
      <c r="Y237" s="30"/>
      <c r="Z237" s="30"/>
      <c r="AA237" s="31"/>
      <c r="AC237" s="144" t="str">
        <f t="shared" si="24"/>
        <v>P20S2A25</v>
      </c>
      <c r="AD237" s="144"/>
      <c r="AE237" s="144">
        <v>20</v>
      </c>
      <c r="AF237" s="144">
        <v>2</v>
      </c>
      <c r="AG237" s="144">
        <v>25</v>
      </c>
      <c r="AH237" s="145">
        <v>785</v>
      </c>
      <c r="AJ237" s="142" t="str">
        <f t="shared" si="28"/>
        <v>P15S2A41</v>
      </c>
      <c r="AK237" s="142"/>
      <c r="AL237" s="142">
        <v>15</v>
      </c>
      <c r="AM237" s="142">
        <v>2</v>
      </c>
      <c r="AN237" s="142">
        <v>41</v>
      </c>
      <c r="AO237" s="143">
        <v>1076</v>
      </c>
    </row>
    <row r="238" spans="8:41">
      <c r="H238" s="30" t="str">
        <f t="shared" si="25"/>
        <v>P20S2A53</v>
      </c>
      <c r="I238" s="30"/>
      <c r="J238" s="30">
        <v>20</v>
      </c>
      <c r="K238" s="30">
        <v>2</v>
      </c>
      <c r="L238" s="30">
        <v>53</v>
      </c>
      <c r="M238" s="31">
        <v>3171</v>
      </c>
      <c r="O238" s="30" t="str">
        <f t="shared" si="26"/>
        <v>P00SA00</v>
      </c>
      <c r="P238" s="30"/>
      <c r="Q238" s="30"/>
      <c r="R238" s="30"/>
      <c r="S238" s="30"/>
      <c r="T238" s="31"/>
      <c r="V238" s="30" t="str">
        <f t="shared" si="27"/>
        <v>P00SA00</v>
      </c>
      <c r="W238" s="30"/>
      <c r="X238" s="30"/>
      <c r="Y238" s="30"/>
      <c r="Z238" s="30"/>
      <c r="AA238" s="31"/>
      <c r="AC238" s="144" t="str">
        <f t="shared" si="24"/>
        <v>P20S2A26</v>
      </c>
      <c r="AD238" s="144"/>
      <c r="AE238" s="144">
        <v>20</v>
      </c>
      <c r="AF238" s="144">
        <v>2</v>
      </c>
      <c r="AG238" s="144">
        <v>26</v>
      </c>
      <c r="AH238" s="145">
        <v>793</v>
      </c>
      <c r="AJ238" s="142" t="str">
        <f t="shared" si="28"/>
        <v>P15S2A42</v>
      </c>
      <c r="AK238" s="142"/>
      <c r="AL238" s="142">
        <v>15</v>
      </c>
      <c r="AM238" s="142">
        <v>2</v>
      </c>
      <c r="AN238" s="142">
        <v>42</v>
      </c>
      <c r="AO238" s="143">
        <v>1077</v>
      </c>
    </row>
    <row r="239" spans="8:41">
      <c r="H239" s="30" t="str">
        <f t="shared" si="25"/>
        <v>P20S2A54</v>
      </c>
      <c r="I239" s="30"/>
      <c r="J239" s="30">
        <v>20</v>
      </c>
      <c r="K239" s="30">
        <v>2</v>
      </c>
      <c r="L239" s="30">
        <v>54</v>
      </c>
      <c r="M239" s="31">
        <v>3286</v>
      </c>
      <c r="O239" s="30" t="str">
        <f t="shared" si="26"/>
        <v>P00SA00</v>
      </c>
      <c r="P239" s="30"/>
      <c r="Q239" s="30"/>
      <c r="R239" s="30"/>
      <c r="S239" s="30"/>
      <c r="T239" s="31"/>
      <c r="V239" s="30" t="str">
        <f t="shared" si="27"/>
        <v>P00SA00</v>
      </c>
      <c r="W239" s="30"/>
      <c r="X239" s="30"/>
      <c r="Y239" s="30"/>
      <c r="Z239" s="30"/>
      <c r="AA239" s="31"/>
      <c r="AC239" s="144" t="str">
        <f t="shared" si="24"/>
        <v>P20S2A27</v>
      </c>
      <c r="AD239" s="144"/>
      <c r="AE239" s="144">
        <v>20</v>
      </c>
      <c r="AF239" s="144">
        <v>2</v>
      </c>
      <c r="AG239" s="144">
        <v>27</v>
      </c>
      <c r="AH239" s="145">
        <v>801</v>
      </c>
      <c r="AJ239" s="142" t="str">
        <f t="shared" si="28"/>
        <v>P15S2A43</v>
      </c>
      <c r="AK239" s="142"/>
      <c r="AL239" s="142">
        <v>15</v>
      </c>
      <c r="AM239" s="142">
        <v>2</v>
      </c>
      <c r="AN239" s="142">
        <v>43</v>
      </c>
      <c r="AO239" s="143">
        <v>1081</v>
      </c>
    </row>
    <row r="240" spans="8:41">
      <c r="H240" s="30" t="str">
        <f t="shared" si="25"/>
        <v>P20S2A55</v>
      </c>
      <c r="I240" s="30"/>
      <c r="J240" s="30">
        <v>20</v>
      </c>
      <c r="K240" s="30">
        <v>2</v>
      </c>
      <c r="L240" s="30">
        <v>55</v>
      </c>
      <c r="M240" s="31">
        <v>3412</v>
      </c>
      <c r="O240" s="30" t="str">
        <f t="shared" si="26"/>
        <v>P00SA00</v>
      </c>
      <c r="P240" s="30"/>
      <c r="Q240" s="30"/>
      <c r="R240" s="30"/>
      <c r="S240" s="30"/>
      <c r="T240" s="31"/>
      <c r="V240" s="30" t="str">
        <f t="shared" si="27"/>
        <v>P00SA00</v>
      </c>
      <c r="W240" s="30"/>
      <c r="X240" s="30"/>
      <c r="Y240" s="30"/>
      <c r="Z240" s="30"/>
      <c r="AA240" s="31"/>
      <c r="AC240" s="144" t="str">
        <f t="shared" si="24"/>
        <v>P20S2A28</v>
      </c>
      <c r="AD240" s="144"/>
      <c r="AE240" s="144">
        <v>20</v>
      </c>
      <c r="AF240" s="144">
        <v>2</v>
      </c>
      <c r="AG240" s="144">
        <v>28</v>
      </c>
      <c r="AH240" s="145">
        <v>809</v>
      </c>
      <c r="AJ240" s="142" t="str">
        <f t="shared" si="28"/>
        <v>P15S2A44</v>
      </c>
      <c r="AK240" s="142"/>
      <c r="AL240" s="142">
        <v>15</v>
      </c>
      <c r="AM240" s="142">
        <v>2</v>
      </c>
      <c r="AN240" s="142">
        <v>44</v>
      </c>
      <c r="AO240" s="143">
        <v>1084</v>
      </c>
    </row>
    <row r="241" spans="8:41">
      <c r="H241" s="30" t="str">
        <f t="shared" si="25"/>
        <v>P20S2A56</v>
      </c>
      <c r="I241" s="30"/>
      <c r="J241" s="30">
        <v>20</v>
      </c>
      <c r="K241" s="30">
        <v>2</v>
      </c>
      <c r="L241" s="30">
        <v>56</v>
      </c>
      <c r="M241" s="31">
        <v>3550</v>
      </c>
      <c r="O241" s="30" t="str">
        <f t="shared" si="26"/>
        <v>P00SA00</v>
      </c>
      <c r="P241" s="30"/>
      <c r="Q241" s="30"/>
      <c r="R241" s="30"/>
      <c r="S241" s="30"/>
      <c r="T241" s="31"/>
      <c r="V241" s="30" t="str">
        <f t="shared" si="27"/>
        <v>P00SA00</v>
      </c>
      <c r="W241" s="30"/>
      <c r="X241" s="30"/>
      <c r="Y241" s="30"/>
      <c r="Z241" s="30"/>
      <c r="AA241" s="31"/>
      <c r="AC241" s="144" t="str">
        <f t="shared" si="24"/>
        <v>P20S2A29</v>
      </c>
      <c r="AD241" s="144"/>
      <c r="AE241" s="144">
        <v>20</v>
      </c>
      <c r="AF241" s="144">
        <v>2</v>
      </c>
      <c r="AG241" s="144">
        <v>29</v>
      </c>
      <c r="AH241" s="145">
        <v>817</v>
      </c>
      <c r="AJ241" s="142" t="str">
        <f t="shared" si="28"/>
        <v>P15S2A45</v>
      </c>
      <c r="AK241" s="142"/>
      <c r="AL241" s="142">
        <v>15</v>
      </c>
      <c r="AM241" s="142">
        <v>2</v>
      </c>
      <c r="AN241" s="142">
        <v>45</v>
      </c>
      <c r="AO241" s="143">
        <v>1087</v>
      </c>
    </row>
    <row r="242" spans="8:41">
      <c r="H242" s="30" t="str">
        <f t="shared" si="25"/>
        <v>P20S2A57</v>
      </c>
      <c r="I242" s="30"/>
      <c r="J242" s="30">
        <v>20</v>
      </c>
      <c r="K242" s="30">
        <v>2</v>
      </c>
      <c r="L242" s="30">
        <v>57</v>
      </c>
      <c r="M242" s="31">
        <v>3701</v>
      </c>
      <c r="O242" s="30" t="str">
        <f t="shared" si="26"/>
        <v>P00SA00</v>
      </c>
      <c r="P242" s="30"/>
      <c r="Q242" s="30"/>
      <c r="R242" s="30"/>
      <c r="S242" s="30"/>
      <c r="T242" s="31"/>
      <c r="V242" s="30" t="str">
        <f t="shared" si="27"/>
        <v>P00SA00</v>
      </c>
      <c r="W242" s="30"/>
      <c r="X242" s="30"/>
      <c r="Y242" s="30"/>
      <c r="Z242" s="30"/>
      <c r="AA242" s="31"/>
      <c r="AC242" s="144" t="str">
        <f t="shared" si="24"/>
        <v>P20S2A30</v>
      </c>
      <c r="AD242" s="144"/>
      <c r="AE242" s="144">
        <v>20</v>
      </c>
      <c r="AF242" s="144">
        <v>2</v>
      </c>
      <c r="AG242" s="144">
        <v>30</v>
      </c>
      <c r="AH242" s="145">
        <v>826</v>
      </c>
      <c r="AJ242" s="142" t="str">
        <f t="shared" si="28"/>
        <v>P15S2A46</v>
      </c>
      <c r="AK242" s="142"/>
      <c r="AL242" s="142">
        <v>15</v>
      </c>
      <c r="AM242" s="142">
        <v>2</v>
      </c>
      <c r="AN242" s="142">
        <v>46</v>
      </c>
      <c r="AO242" s="143">
        <v>1090</v>
      </c>
    </row>
    <row r="243" spans="8:41">
      <c r="H243" s="30" t="str">
        <f t="shared" si="25"/>
        <v>P20S2A58</v>
      </c>
      <c r="I243" s="30"/>
      <c r="J243" s="30">
        <v>20</v>
      </c>
      <c r="K243" s="30">
        <v>2</v>
      </c>
      <c r="L243" s="30">
        <v>58</v>
      </c>
      <c r="M243" s="31">
        <v>3866</v>
      </c>
      <c r="O243" s="30" t="str">
        <f t="shared" si="26"/>
        <v>P00SA00</v>
      </c>
      <c r="P243" s="30"/>
      <c r="Q243" s="30"/>
      <c r="R243" s="30"/>
      <c r="S243" s="30"/>
      <c r="T243" s="31"/>
      <c r="V243" s="30" t="str">
        <f t="shared" si="27"/>
        <v>P00SA00</v>
      </c>
      <c r="W243" s="30"/>
      <c r="X243" s="30"/>
      <c r="Y243" s="30"/>
      <c r="Z243" s="30"/>
      <c r="AA243" s="31"/>
      <c r="AC243" s="144" t="str">
        <f t="shared" si="24"/>
        <v>P20S2A31</v>
      </c>
      <c r="AD243" s="144"/>
      <c r="AE243" s="144">
        <v>20</v>
      </c>
      <c r="AF243" s="144">
        <v>2</v>
      </c>
      <c r="AG243" s="144">
        <v>31</v>
      </c>
      <c r="AH243" s="145">
        <v>834</v>
      </c>
      <c r="AJ243" s="142" t="str">
        <f t="shared" si="28"/>
        <v>P15S2A47</v>
      </c>
      <c r="AK243" s="142"/>
      <c r="AL243" s="142">
        <v>15</v>
      </c>
      <c r="AM243" s="142">
        <v>2</v>
      </c>
      <c r="AN243" s="142">
        <v>47</v>
      </c>
      <c r="AO243" s="143">
        <v>1093</v>
      </c>
    </row>
    <row r="244" spans="8:41">
      <c r="H244" s="30" t="str">
        <f t="shared" si="25"/>
        <v>P20S2A59</v>
      </c>
      <c r="I244" s="30"/>
      <c r="J244" s="30">
        <v>20</v>
      </c>
      <c r="K244" s="30">
        <v>2</v>
      </c>
      <c r="L244" s="30">
        <v>59</v>
      </c>
      <c r="M244" s="31">
        <v>4067</v>
      </c>
      <c r="O244" s="30" t="str">
        <f t="shared" si="26"/>
        <v>P00SA00</v>
      </c>
      <c r="P244" s="30"/>
      <c r="Q244" s="30"/>
      <c r="R244" s="30"/>
      <c r="S244" s="30"/>
      <c r="T244" s="31"/>
      <c r="V244" s="30" t="str">
        <f t="shared" si="27"/>
        <v>P00SA00</v>
      </c>
      <c r="W244" s="30"/>
      <c r="X244" s="30"/>
      <c r="Y244" s="30"/>
      <c r="Z244" s="30"/>
      <c r="AA244" s="31"/>
      <c r="AC244" s="144" t="str">
        <f t="shared" si="24"/>
        <v>P20S2A32</v>
      </c>
      <c r="AD244" s="144"/>
      <c r="AE244" s="144">
        <v>20</v>
      </c>
      <c r="AF244" s="144">
        <v>2</v>
      </c>
      <c r="AG244" s="144">
        <v>32</v>
      </c>
      <c r="AH244" s="145">
        <v>841</v>
      </c>
      <c r="AJ244" s="142" t="str">
        <f t="shared" si="28"/>
        <v>P15S2A48</v>
      </c>
      <c r="AK244" s="142"/>
      <c r="AL244" s="142">
        <v>15</v>
      </c>
      <c r="AM244" s="142">
        <v>2</v>
      </c>
      <c r="AN244" s="142">
        <v>48</v>
      </c>
      <c r="AO244" s="143">
        <v>1096</v>
      </c>
    </row>
    <row r="245" spans="8:41">
      <c r="H245" s="30" t="str">
        <f t="shared" si="25"/>
        <v>P20S2A60</v>
      </c>
      <c r="I245" s="30"/>
      <c r="J245" s="30">
        <v>20</v>
      </c>
      <c r="K245" s="30">
        <v>2</v>
      </c>
      <c r="L245" s="30">
        <v>60</v>
      </c>
      <c r="M245" s="31">
        <v>4300</v>
      </c>
      <c r="O245" s="30" t="str">
        <f t="shared" si="26"/>
        <v>P00SA00</v>
      </c>
      <c r="P245" s="30"/>
      <c r="Q245" s="30"/>
      <c r="R245" s="30"/>
      <c r="S245" s="30"/>
      <c r="T245" s="31"/>
      <c r="V245" s="30" t="str">
        <f t="shared" si="27"/>
        <v>P00SA00</v>
      </c>
      <c r="W245" s="30"/>
      <c r="X245" s="30"/>
      <c r="Y245" s="30"/>
      <c r="Z245" s="30"/>
      <c r="AA245" s="31"/>
      <c r="AC245" s="144" t="str">
        <f t="shared" si="24"/>
        <v>P20S2A33</v>
      </c>
      <c r="AD245" s="144"/>
      <c r="AE245" s="144">
        <v>20</v>
      </c>
      <c r="AF245" s="144">
        <v>2</v>
      </c>
      <c r="AG245" s="144">
        <v>33</v>
      </c>
      <c r="AH245" s="145">
        <v>851</v>
      </c>
      <c r="AJ245" s="142" t="str">
        <f t="shared" si="28"/>
        <v>P15S2A49</v>
      </c>
      <c r="AK245" s="142"/>
      <c r="AL245" s="142">
        <v>15</v>
      </c>
      <c r="AM245" s="142">
        <v>2</v>
      </c>
      <c r="AN245" s="142">
        <v>49</v>
      </c>
      <c r="AO245" s="143">
        <v>1100</v>
      </c>
    </row>
    <row r="246" spans="8:41">
      <c r="AC246" s="144" t="str">
        <f t="shared" si="24"/>
        <v>P20S2A34</v>
      </c>
      <c r="AD246" s="144"/>
      <c r="AE246" s="144">
        <v>20</v>
      </c>
      <c r="AF246" s="144">
        <v>2</v>
      </c>
      <c r="AG246" s="144">
        <v>34</v>
      </c>
      <c r="AH246" s="145">
        <v>859</v>
      </c>
      <c r="AJ246" s="142" t="str">
        <f t="shared" si="28"/>
        <v>P15S2A50</v>
      </c>
      <c r="AK246" s="142"/>
      <c r="AL246" s="142">
        <v>15</v>
      </c>
      <c r="AM246" s="142">
        <v>2</v>
      </c>
      <c r="AN246" s="142">
        <v>50</v>
      </c>
      <c r="AO246" s="143">
        <v>1102</v>
      </c>
    </row>
    <row r="247" spans="8:41">
      <c r="AC247" s="144" t="str">
        <f t="shared" si="24"/>
        <v>P20S2A35</v>
      </c>
      <c r="AD247" s="144"/>
      <c r="AE247" s="144">
        <v>20</v>
      </c>
      <c r="AF247" s="144">
        <v>2</v>
      </c>
      <c r="AG247" s="144">
        <v>35</v>
      </c>
      <c r="AH247" s="145">
        <v>868</v>
      </c>
      <c r="AJ247" s="142" t="str">
        <f t="shared" si="28"/>
        <v>P15S2A51</v>
      </c>
      <c r="AK247" s="142"/>
      <c r="AL247" s="142">
        <v>15</v>
      </c>
      <c r="AM247" s="142">
        <v>2</v>
      </c>
      <c r="AN247" s="142">
        <v>51</v>
      </c>
      <c r="AO247" s="143">
        <v>1105</v>
      </c>
    </row>
    <row r="248" spans="8:41">
      <c r="AC248" s="144" t="str">
        <f t="shared" si="24"/>
        <v>P20S2A36</v>
      </c>
      <c r="AD248" s="144"/>
      <c r="AE248" s="144">
        <v>20</v>
      </c>
      <c r="AF248" s="144">
        <v>2</v>
      </c>
      <c r="AG248" s="144">
        <v>36</v>
      </c>
      <c r="AH248" s="145">
        <v>876</v>
      </c>
      <c r="AJ248" s="142" t="str">
        <f t="shared" si="28"/>
        <v>P15S2A52</v>
      </c>
      <c r="AK248" s="142"/>
      <c r="AL248" s="142">
        <v>15</v>
      </c>
      <c r="AM248" s="142">
        <v>2</v>
      </c>
      <c r="AN248" s="142">
        <v>52</v>
      </c>
      <c r="AO248" s="143">
        <v>1108</v>
      </c>
    </row>
    <row r="249" spans="8:41">
      <c r="AC249" s="144" t="str">
        <f t="shared" si="24"/>
        <v>P20S2A37</v>
      </c>
      <c r="AD249" s="144"/>
      <c r="AE249" s="144">
        <v>20</v>
      </c>
      <c r="AF249" s="144">
        <v>2</v>
      </c>
      <c r="AG249" s="144">
        <v>37</v>
      </c>
      <c r="AH249" s="145">
        <v>884</v>
      </c>
      <c r="AJ249" s="142" t="str">
        <f t="shared" si="28"/>
        <v>P15S2A53</v>
      </c>
      <c r="AK249" s="142"/>
      <c r="AL249" s="142">
        <v>15</v>
      </c>
      <c r="AM249" s="142">
        <v>2</v>
      </c>
      <c r="AN249" s="142">
        <v>53</v>
      </c>
      <c r="AO249" s="143">
        <v>1111</v>
      </c>
    </row>
    <row r="250" spans="8:41">
      <c r="AC250" s="144" t="str">
        <f t="shared" si="24"/>
        <v>P20S2A38</v>
      </c>
      <c r="AD250" s="144"/>
      <c r="AE250" s="144">
        <v>20</v>
      </c>
      <c r="AF250" s="144">
        <v>2</v>
      </c>
      <c r="AG250" s="144">
        <v>38</v>
      </c>
      <c r="AH250" s="145">
        <v>893</v>
      </c>
      <c r="AJ250" s="142" t="str">
        <f t="shared" si="28"/>
        <v>P15S2A54</v>
      </c>
      <c r="AK250" s="142"/>
      <c r="AL250" s="142">
        <v>15</v>
      </c>
      <c r="AM250" s="142">
        <v>2</v>
      </c>
      <c r="AN250" s="142">
        <v>54</v>
      </c>
      <c r="AO250" s="143">
        <v>1115</v>
      </c>
    </row>
    <row r="251" spans="8:41">
      <c r="AC251" s="144" t="str">
        <f t="shared" si="24"/>
        <v>P20S2A39</v>
      </c>
      <c r="AD251" s="144"/>
      <c r="AE251" s="144">
        <v>20</v>
      </c>
      <c r="AF251" s="144">
        <v>2</v>
      </c>
      <c r="AG251" s="144">
        <v>39</v>
      </c>
      <c r="AH251" s="145">
        <v>899</v>
      </c>
      <c r="AJ251" s="142" t="str">
        <f t="shared" si="28"/>
        <v>P15S2A55</v>
      </c>
      <c r="AK251" s="142"/>
      <c r="AL251" s="142">
        <v>15</v>
      </c>
      <c r="AM251" s="142">
        <v>2</v>
      </c>
      <c r="AN251" s="142">
        <v>55</v>
      </c>
      <c r="AO251" s="143">
        <v>1118</v>
      </c>
    </row>
    <row r="252" spans="8:41">
      <c r="AC252" s="144" t="str">
        <f t="shared" si="24"/>
        <v>P20S2A40</v>
      </c>
      <c r="AD252" s="144"/>
      <c r="AE252" s="144">
        <v>20</v>
      </c>
      <c r="AF252" s="144">
        <v>2</v>
      </c>
      <c r="AG252" s="144">
        <v>40</v>
      </c>
      <c r="AH252" s="145">
        <v>906</v>
      </c>
      <c r="AJ252" s="142" t="str">
        <f t="shared" si="28"/>
        <v>P15S2A56</v>
      </c>
      <c r="AK252" s="142"/>
      <c r="AL252" s="142">
        <v>15</v>
      </c>
      <c r="AM252" s="142">
        <v>2</v>
      </c>
      <c r="AN252" s="142">
        <v>56</v>
      </c>
      <c r="AO252" s="143">
        <v>1120</v>
      </c>
    </row>
    <row r="253" spans="8:41">
      <c r="AC253" s="144" t="str">
        <f t="shared" si="24"/>
        <v>P20S2A41</v>
      </c>
      <c r="AD253" s="144"/>
      <c r="AE253" s="144">
        <v>20</v>
      </c>
      <c r="AF253" s="144">
        <v>2</v>
      </c>
      <c r="AG253" s="144">
        <v>41</v>
      </c>
      <c r="AH253" s="145">
        <v>912</v>
      </c>
      <c r="AJ253" s="142" t="str">
        <f t="shared" si="28"/>
        <v>P15S2A57</v>
      </c>
      <c r="AK253" s="142"/>
      <c r="AL253" s="142">
        <v>15</v>
      </c>
      <c r="AM253" s="142">
        <v>2</v>
      </c>
      <c r="AN253" s="142">
        <v>57</v>
      </c>
      <c r="AO253" s="143">
        <v>1123</v>
      </c>
    </row>
    <row r="254" spans="8:41">
      <c r="AC254" s="144" t="str">
        <f t="shared" si="24"/>
        <v>P20S2A42</v>
      </c>
      <c r="AD254" s="144"/>
      <c r="AE254" s="144">
        <v>20</v>
      </c>
      <c r="AF254" s="144">
        <v>2</v>
      </c>
      <c r="AG254" s="144">
        <v>42</v>
      </c>
      <c r="AH254" s="145">
        <v>914</v>
      </c>
      <c r="AJ254" s="142" t="str">
        <f t="shared" si="28"/>
        <v>P15S2A58</v>
      </c>
      <c r="AK254" s="142"/>
      <c r="AL254" s="142">
        <v>15</v>
      </c>
      <c r="AM254" s="142">
        <v>2</v>
      </c>
      <c r="AN254" s="142">
        <v>58</v>
      </c>
      <c r="AO254" s="143">
        <v>1126</v>
      </c>
    </row>
    <row r="255" spans="8:41">
      <c r="AC255" s="144" t="str">
        <f t="shared" si="24"/>
        <v>P20S2A43</v>
      </c>
      <c r="AD255" s="144"/>
      <c r="AE255" s="144">
        <v>20</v>
      </c>
      <c r="AF255" s="144">
        <v>2</v>
      </c>
      <c r="AG255" s="144">
        <v>43</v>
      </c>
      <c r="AH255" s="145">
        <v>916</v>
      </c>
      <c r="AJ255" s="142" t="str">
        <f t="shared" si="28"/>
        <v>P15S2A59</v>
      </c>
      <c r="AK255" s="142"/>
      <c r="AL255" s="142">
        <v>15</v>
      </c>
      <c r="AM255" s="142">
        <v>2</v>
      </c>
      <c r="AN255" s="142">
        <v>59</v>
      </c>
      <c r="AO255" s="143">
        <v>1129</v>
      </c>
    </row>
    <row r="256" spans="8:41">
      <c r="AC256" s="144" t="str">
        <f t="shared" si="24"/>
        <v>P20S2A44</v>
      </c>
      <c r="AD256" s="144"/>
      <c r="AE256" s="144">
        <v>20</v>
      </c>
      <c r="AF256" s="144">
        <v>2</v>
      </c>
      <c r="AG256" s="144">
        <v>44</v>
      </c>
      <c r="AH256" s="145">
        <v>920</v>
      </c>
      <c r="AJ256" s="142" t="str">
        <f t="shared" si="28"/>
        <v>P15S2A60</v>
      </c>
      <c r="AK256" s="142"/>
      <c r="AL256" s="142">
        <v>15</v>
      </c>
      <c r="AM256" s="142">
        <v>2</v>
      </c>
      <c r="AN256" s="142">
        <v>60</v>
      </c>
      <c r="AO256" s="143">
        <v>1131</v>
      </c>
    </row>
    <row r="257" spans="29:41">
      <c r="AC257" s="144" t="str">
        <f t="shared" si="24"/>
        <v>P20S2A45</v>
      </c>
      <c r="AD257" s="144"/>
      <c r="AE257" s="144">
        <v>20</v>
      </c>
      <c r="AF257" s="144">
        <v>2</v>
      </c>
      <c r="AG257" s="144">
        <v>45</v>
      </c>
      <c r="AH257" s="145">
        <v>924</v>
      </c>
      <c r="AJ257" s="142" t="str">
        <f t="shared" si="28"/>
        <v>P15S2A61</v>
      </c>
      <c r="AK257" s="142"/>
      <c r="AL257" s="142">
        <v>15</v>
      </c>
      <c r="AM257" s="142">
        <v>2</v>
      </c>
      <c r="AN257" s="142">
        <v>61</v>
      </c>
      <c r="AO257" s="143">
        <v>1134</v>
      </c>
    </row>
    <row r="258" spans="29:41">
      <c r="AC258" s="144" t="str">
        <f t="shared" ref="AC258:AC277" si="29">"P"&amp;REPT("0",2-LEN(AE258))&amp;AE258&amp;"S"&amp;AF258&amp;"A"&amp;REPT("0",2-LEN(AG258))&amp;AG258</f>
        <v>P20S2A46</v>
      </c>
      <c r="AD258" s="144"/>
      <c r="AE258" s="144">
        <v>20</v>
      </c>
      <c r="AF258" s="144">
        <v>2</v>
      </c>
      <c r="AG258" s="144">
        <v>46</v>
      </c>
      <c r="AH258" s="145">
        <v>927</v>
      </c>
      <c r="AJ258" s="142" t="str">
        <f t="shared" si="28"/>
        <v>P15S2A62</v>
      </c>
      <c r="AK258" s="142"/>
      <c r="AL258" s="142">
        <v>15</v>
      </c>
      <c r="AM258" s="142">
        <v>2</v>
      </c>
      <c r="AN258" s="142">
        <v>62</v>
      </c>
      <c r="AO258" s="143">
        <v>1136</v>
      </c>
    </row>
    <row r="259" spans="29:41">
      <c r="AC259" s="144" t="str">
        <f t="shared" si="29"/>
        <v>P20S2A47</v>
      </c>
      <c r="AD259" s="144"/>
      <c r="AE259" s="144">
        <v>20</v>
      </c>
      <c r="AF259" s="144">
        <v>2</v>
      </c>
      <c r="AG259" s="144">
        <v>47</v>
      </c>
      <c r="AH259" s="145">
        <v>928</v>
      </c>
      <c r="AJ259" s="142" t="str">
        <f t="shared" ref="AJ259:AJ322" si="30">"P"&amp;REPT("0",2-LEN(AL259))&amp;AL259&amp;"S"&amp;AM259&amp;"A"&amp;REPT("0",2-LEN(AN259))&amp;AN259</f>
        <v>P15S2A63</v>
      </c>
      <c r="AK259" s="142"/>
      <c r="AL259" s="142">
        <v>15</v>
      </c>
      <c r="AM259" s="142">
        <v>2</v>
      </c>
      <c r="AN259" s="142">
        <v>63</v>
      </c>
      <c r="AO259" s="143">
        <v>1140</v>
      </c>
    </row>
    <row r="260" spans="29:41">
      <c r="AC260" s="144" t="str">
        <f t="shared" si="29"/>
        <v>P20S2A48</v>
      </c>
      <c r="AD260" s="144"/>
      <c r="AE260" s="144">
        <v>20</v>
      </c>
      <c r="AF260" s="144">
        <v>2</v>
      </c>
      <c r="AG260" s="144">
        <v>48</v>
      </c>
      <c r="AH260" s="145">
        <v>929</v>
      </c>
      <c r="AJ260" s="142" t="str">
        <f t="shared" si="30"/>
        <v>P15S2A64</v>
      </c>
      <c r="AK260" s="142"/>
      <c r="AL260" s="142">
        <v>15</v>
      </c>
      <c r="AM260" s="142">
        <v>2</v>
      </c>
      <c r="AN260" s="142">
        <v>64</v>
      </c>
      <c r="AO260" s="143">
        <v>1141</v>
      </c>
    </row>
    <row r="261" spans="29:41">
      <c r="AC261" s="144" t="str">
        <f t="shared" si="29"/>
        <v>P20S2A49</v>
      </c>
      <c r="AD261" s="144"/>
      <c r="AE261" s="144">
        <v>20</v>
      </c>
      <c r="AF261" s="144">
        <v>2</v>
      </c>
      <c r="AG261" s="144">
        <v>49</v>
      </c>
      <c r="AH261" s="145">
        <v>930</v>
      </c>
      <c r="AJ261" s="142" t="str">
        <f t="shared" si="30"/>
        <v>P15S2A65</v>
      </c>
      <c r="AK261" s="142"/>
      <c r="AL261" s="142">
        <v>15</v>
      </c>
      <c r="AM261" s="142">
        <v>2</v>
      </c>
      <c r="AN261" s="142">
        <v>65</v>
      </c>
      <c r="AO261" s="143">
        <v>1141</v>
      </c>
    </row>
    <row r="262" spans="29:41">
      <c r="AC262" s="144" t="str">
        <f t="shared" si="29"/>
        <v>P20S2A50</v>
      </c>
      <c r="AD262" s="144"/>
      <c r="AE262" s="144">
        <v>20</v>
      </c>
      <c r="AF262" s="144">
        <v>2</v>
      </c>
      <c r="AG262" s="144">
        <v>50</v>
      </c>
      <c r="AH262" s="145">
        <v>931</v>
      </c>
      <c r="AJ262" s="142" t="str">
        <f t="shared" si="30"/>
        <v>P20S1A01</v>
      </c>
      <c r="AK262" s="142"/>
      <c r="AL262" s="142">
        <v>20</v>
      </c>
      <c r="AM262" s="142">
        <v>1</v>
      </c>
      <c r="AN262" s="142">
        <v>1</v>
      </c>
      <c r="AO262" s="143">
        <v>528</v>
      </c>
    </row>
    <row r="263" spans="29:41">
      <c r="AC263" s="144" t="str">
        <f t="shared" si="29"/>
        <v>P20S2A51</v>
      </c>
      <c r="AD263" s="144"/>
      <c r="AE263" s="144">
        <v>20</v>
      </c>
      <c r="AF263" s="144">
        <v>2</v>
      </c>
      <c r="AG263" s="144">
        <v>51</v>
      </c>
      <c r="AH263" s="145">
        <v>932</v>
      </c>
      <c r="AJ263" s="142" t="str">
        <f t="shared" si="30"/>
        <v>P20S1A02</v>
      </c>
      <c r="AK263" s="142"/>
      <c r="AL263" s="142">
        <v>20</v>
      </c>
      <c r="AM263" s="142">
        <v>1</v>
      </c>
      <c r="AN263" s="142">
        <v>2</v>
      </c>
      <c r="AO263" s="143">
        <v>534</v>
      </c>
    </row>
    <row r="264" spans="29:41">
      <c r="AC264" s="144" t="str">
        <f t="shared" si="29"/>
        <v>P20S2A52</v>
      </c>
      <c r="AD264" s="144"/>
      <c r="AE264" s="144">
        <v>20</v>
      </c>
      <c r="AF264" s="144">
        <v>2</v>
      </c>
      <c r="AG264" s="144">
        <v>52</v>
      </c>
      <c r="AH264" s="145">
        <v>933</v>
      </c>
      <c r="AJ264" s="142" t="str">
        <f t="shared" si="30"/>
        <v>P20S1A03</v>
      </c>
      <c r="AK264" s="142"/>
      <c r="AL264" s="142">
        <v>20</v>
      </c>
      <c r="AM264" s="142">
        <v>1</v>
      </c>
      <c r="AN264" s="142">
        <v>3</v>
      </c>
      <c r="AO264" s="143">
        <v>539</v>
      </c>
    </row>
    <row r="265" spans="29:41">
      <c r="AC265" s="144" t="str">
        <f t="shared" si="29"/>
        <v>P20S2A53</v>
      </c>
      <c r="AD265" s="144"/>
      <c r="AE265" s="144">
        <v>20</v>
      </c>
      <c r="AF265" s="144">
        <v>2</v>
      </c>
      <c r="AG265" s="144">
        <v>53</v>
      </c>
      <c r="AH265" s="145">
        <v>935</v>
      </c>
      <c r="AJ265" s="142" t="str">
        <f t="shared" si="30"/>
        <v>P20S1A04</v>
      </c>
      <c r="AK265" s="142"/>
      <c r="AL265" s="142">
        <v>20</v>
      </c>
      <c r="AM265" s="142">
        <v>1</v>
      </c>
      <c r="AN265" s="142">
        <v>4</v>
      </c>
      <c r="AO265" s="143">
        <v>544</v>
      </c>
    </row>
    <row r="266" spans="29:41">
      <c r="AC266" s="144" t="str">
        <f t="shared" si="29"/>
        <v>P20S2A54</v>
      </c>
      <c r="AD266" s="144"/>
      <c r="AE266" s="144">
        <v>20</v>
      </c>
      <c r="AF266" s="144">
        <v>2</v>
      </c>
      <c r="AG266" s="144">
        <v>54</v>
      </c>
      <c r="AH266" s="145">
        <v>935</v>
      </c>
      <c r="AJ266" s="142" t="str">
        <f t="shared" si="30"/>
        <v>P20S1A05</v>
      </c>
      <c r="AK266" s="142"/>
      <c r="AL266" s="142">
        <v>20</v>
      </c>
      <c r="AM266" s="142">
        <v>1</v>
      </c>
      <c r="AN266" s="142">
        <v>5</v>
      </c>
      <c r="AO266" s="143">
        <v>549</v>
      </c>
    </row>
    <row r="267" spans="29:41">
      <c r="AC267" s="144" t="str">
        <f t="shared" si="29"/>
        <v>P20S2A55</v>
      </c>
      <c r="AD267" s="144"/>
      <c r="AE267" s="144">
        <v>20</v>
      </c>
      <c r="AF267" s="144">
        <v>2</v>
      </c>
      <c r="AG267" s="144">
        <v>55</v>
      </c>
      <c r="AH267" s="145">
        <v>935</v>
      </c>
      <c r="AJ267" s="142" t="str">
        <f t="shared" si="30"/>
        <v>P20S1A06</v>
      </c>
      <c r="AK267" s="142"/>
      <c r="AL267" s="142">
        <v>20</v>
      </c>
      <c r="AM267" s="142">
        <v>1</v>
      </c>
      <c r="AN267" s="142">
        <v>6</v>
      </c>
      <c r="AO267" s="143">
        <v>555</v>
      </c>
    </row>
    <row r="268" spans="29:41">
      <c r="AC268" s="144" t="str">
        <f t="shared" si="29"/>
        <v>P20S2A56</v>
      </c>
      <c r="AD268" s="144"/>
      <c r="AE268" s="144">
        <v>20</v>
      </c>
      <c r="AF268" s="144">
        <v>2</v>
      </c>
      <c r="AG268" s="144">
        <v>56</v>
      </c>
      <c r="AH268" s="145">
        <v>936</v>
      </c>
      <c r="AJ268" s="142" t="str">
        <f t="shared" si="30"/>
        <v>P20S1A07</v>
      </c>
      <c r="AK268" s="142"/>
      <c r="AL268" s="142">
        <v>20</v>
      </c>
      <c r="AM268" s="142">
        <v>1</v>
      </c>
      <c r="AN268" s="142">
        <v>7</v>
      </c>
      <c r="AO268" s="143">
        <v>560</v>
      </c>
    </row>
    <row r="269" spans="29:41">
      <c r="AC269" s="144" t="str">
        <f t="shared" si="29"/>
        <v>P20S2A57</v>
      </c>
      <c r="AD269" s="144"/>
      <c r="AE269" s="144">
        <v>20</v>
      </c>
      <c r="AF269" s="144">
        <v>2</v>
      </c>
      <c r="AG269" s="144">
        <v>57</v>
      </c>
      <c r="AH269" s="145">
        <v>937</v>
      </c>
      <c r="AJ269" s="142" t="str">
        <f t="shared" si="30"/>
        <v>P20S1A08</v>
      </c>
      <c r="AK269" s="142"/>
      <c r="AL269" s="142">
        <v>20</v>
      </c>
      <c r="AM269" s="142">
        <v>1</v>
      </c>
      <c r="AN269" s="142">
        <v>8</v>
      </c>
      <c r="AO269" s="143">
        <v>565</v>
      </c>
    </row>
    <row r="270" spans="29:41">
      <c r="AC270" s="144" t="str">
        <f t="shared" si="29"/>
        <v>P20S2A58</v>
      </c>
      <c r="AD270" s="144"/>
      <c r="AE270" s="144">
        <v>20</v>
      </c>
      <c r="AF270" s="144">
        <v>2</v>
      </c>
      <c r="AG270" s="144">
        <v>58</v>
      </c>
      <c r="AH270" s="145">
        <v>938</v>
      </c>
      <c r="AJ270" s="142" t="str">
        <f t="shared" si="30"/>
        <v>P20S1A09</v>
      </c>
      <c r="AK270" s="142"/>
      <c r="AL270" s="142">
        <v>20</v>
      </c>
      <c r="AM270" s="142">
        <v>1</v>
      </c>
      <c r="AN270" s="142">
        <v>9</v>
      </c>
      <c r="AO270" s="143">
        <v>571</v>
      </c>
    </row>
    <row r="271" spans="29:41">
      <c r="AC271" s="144" t="str">
        <f t="shared" si="29"/>
        <v>P20S2A59</v>
      </c>
      <c r="AD271" s="144"/>
      <c r="AE271" s="144">
        <v>20</v>
      </c>
      <c r="AF271" s="144">
        <v>2</v>
      </c>
      <c r="AG271" s="144">
        <v>59</v>
      </c>
      <c r="AH271" s="145">
        <v>941</v>
      </c>
      <c r="AJ271" s="142" t="str">
        <f t="shared" si="30"/>
        <v>P20S1A10</v>
      </c>
      <c r="AK271" s="142"/>
      <c r="AL271" s="142">
        <v>20</v>
      </c>
      <c r="AM271" s="142">
        <v>1</v>
      </c>
      <c r="AN271" s="142">
        <v>10</v>
      </c>
      <c r="AO271" s="143">
        <v>576</v>
      </c>
    </row>
    <row r="272" spans="29:41">
      <c r="AC272" s="144" t="str">
        <f t="shared" si="29"/>
        <v>P20S2A60</v>
      </c>
      <c r="AD272" s="144"/>
      <c r="AE272" s="144">
        <v>20</v>
      </c>
      <c r="AF272" s="144">
        <v>2</v>
      </c>
      <c r="AG272" s="144">
        <v>60</v>
      </c>
      <c r="AH272" s="145">
        <v>943</v>
      </c>
      <c r="AJ272" s="142" t="str">
        <f t="shared" si="30"/>
        <v>P20S1A11</v>
      </c>
      <c r="AK272" s="142"/>
      <c r="AL272" s="142">
        <v>20</v>
      </c>
      <c r="AM272" s="142">
        <v>1</v>
      </c>
      <c r="AN272" s="142">
        <v>11</v>
      </c>
      <c r="AO272" s="143">
        <v>582</v>
      </c>
    </row>
    <row r="273" spans="29:41">
      <c r="AC273" s="144" t="str">
        <f t="shared" si="29"/>
        <v>P20S2A61</v>
      </c>
      <c r="AD273" s="144"/>
      <c r="AE273" s="144">
        <v>20</v>
      </c>
      <c r="AF273" s="144">
        <v>2</v>
      </c>
      <c r="AG273" s="144">
        <v>61</v>
      </c>
      <c r="AH273" s="145">
        <v>943</v>
      </c>
      <c r="AJ273" s="142" t="str">
        <f t="shared" si="30"/>
        <v>P20S1A12</v>
      </c>
      <c r="AK273" s="142"/>
      <c r="AL273" s="142">
        <v>20</v>
      </c>
      <c r="AM273" s="142">
        <v>1</v>
      </c>
      <c r="AN273" s="142">
        <v>12</v>
      </c>
      <c r="AO273" s="143">
        <v>588</v>
      </c>
    </row>
    <row r="274" spans="29:41">
      <c r="AC274" s="144" t="str">
        <f t="shared" si="29"/>
        <v>P20S2A62</v>
      </c>
      <c r="AD274" s="144"/>
      <c r="AE274" s="144">
        <v>20</v>
      </c>
      <c r="AF274" s="144">
        <v>2</v>
      </c>
      <c r="AG274" s="144">
        <v>62</v>
      </c>
      <c r="AH274" s="145">
        <v>944</v>
      </c>
      <c r="AJ274" s="142" t="str">
        <f t="shared" si="30"/>
        <v>P20S1A13</v>
      </c>
      <c r="AK274" s="142"/>
      <c r="AL274" s="142">
        <v>20</v>
      </c>
      <c r="AM274" s="142">
        <v>1</v>
      </c>
      <c r="AN274" s="142">
        <v>13</v>
      </c>
      <c r="AO274" s="143">
        <v>594</v>
      </c>
    </row>
    <row r="275" spans="29:41">
      <c r="AC275" s="144" t="str">
        <f t="shared" si="29"/>
        <v>P20S2A63</v>
      </c>
      <c r="AD275" s="144"/>
      <c r="AE275" s="144">
        <v>20</v>
      </c>
      <c r="AF275" s="144">
        <v>2</v>
      </c>
      <c r="AG275" s="144">
        <v>63</v>
      </c>
      <c r="AH275" s="145">
        <v>944</v>
      </c>
      <c r="AJ275" s="142" t="str">
        <f t="shared" si="30"/>
        <v>P20S1A14</v>
      </c>
      <c r="AK275" s="142"/>
      <c r="AL275" s="142">
        <v>20</v>
      </c>
      <c r="AM275" s="142">
        <v>1</v>
      </c>
      <c r="AN275" s="142">
        <v>14</v>
      </c>
      <c r="AO275" s="143">
        <v>600</v>
      </c>
    </row>
    <row r="276" spans="29:41">
      <c r="AC276" s="144" t="str">
        <f t="shared" si="29"/>
        <v>P20S2A64</v>
      </c>
      <c r="AD276" s="144"/>
      <c r="AE276" s="144">
        <v>20</v>
      </c>
      <c r="AF276" s="144">
        <v>2</v>
      </c>
      <c r="AG276" s="144">
        <v>64</v>
      </c>
      <c r="AH276" s="145">
        <v>944</v>
      </c>
      <c r="AJ276" s="142" t="str">
        <f t="shared" si="30"/>
        <v>P20S1A15</v>
      </c>
      <c r="AK276" s="142"/>
      <c r="AL276" s="142">
        <v>20</v>
      </c>
      <c r="AM276" s="142">
        <v>1</v>
      </c>
      <c r="AN276" s="142">
        <v>15</v>
      </c>
      <c r="AO276" s="143">
        <v>606</v>
      </c>
    </row>
    <row r="277" spans="29:41">
      <c r="AC277" s="144" t="str">
        <f t="shared" si="29"/>
        <v>P20S2A65</v>
      </c>
      <c r="AD277" s="144"/>
      <c r="AE277" s="144">
        <v>20</v>
      </c>
      <c r="AF277" s="144">
        <v>2</v>
      </c>
      <c r="AG277" s="144">
        <v>65</v>
      </c>
      <c r="AH277" s="145">
        <v>945</v>
      </c>
      <c r="AJ277" s="142" t="str">
        <f t="shared" si="30"/>
        <v>P20S1A16</v>
      </c>
      <c r="AK277" s="142"/>
      <c r="AL277" s="142">
        <v>20</v>
      </c>
      <c r="AM277" s="142">
        <v>1</v>
      </c>
      <c r="AN277" s="142">
        <v>16</v>
      </c>
      <c r="AO277" s="143">
        <v>612</v>
      </c>
    </row>
    <row r="278" spans="29:41">
      <c r="AJ278" s="142" t="str">
        <f t="shared" si="30"/>
        <v>P20S1A17</v>
      </c>
      <c r="AK278" s="142"/>
      <c r="AL278" s="142">
        <v>20</v>
      </c>
      <c r="AM278" s="142">
        <v>1</v>
      </c>
      <c r="AN278" s="142">
        <v>17</v>
      </c>
      <c r="AO278" s="143">
        <v>618</v>
      </c>
    </row>
    <row r="279" spans="29:41">
      <c r="AJ279" s="142" t="str">
        <f t="shared" si="30"/>
        <v>P20S1A18</v>
      </c>
      <c r="AK279" s="142"/>
      <c r="AL279" s="142">
        <v>20</v>
      </c>
      <c r="AM279" s="142">
        <v>1</v>
      </c>
      <c r="AN279" s="142">
        <v>18</v>
      </c>
      <c r="AO279" s="143">
        <v>624</v>
      </c>
    </row>
    <row r="280" spans="29:41">
      <c r="AJ280" s="142" t="str">
        <f t="shared" si="30"/>
        <v>P20S1A19</v>
      </c>
      <c r="AK280" s="142"/>
      <c r="AL280" s="142">
        <v>20</v>
      </c>
      <c r="AM280" s="142">
        <v>1</v>
      </c>
      <c r="AN280" s="142">
        <v>19</v>
      </c>
      <c r="AO280" s="143">
        <v>630</v>
      </c>
    </row>
    <row r="281" spans="29:41">
      <c r="AJ281" s="142" t="str">
        <f t="shared" si="30"/>
        <v>P20S1A20</v>
      </c>
      <c r="AK281" s="142"/>
      <c r="AL281" s="142">
        <v>20</v>
      </c>
      <c r="AM281" s="142">
        <v>1</v>
      </c>
      <c r="AN281" s="142">
        <v>20</v>
      </c>
      <c r="AO281" s="143">
        <v>637</v>
      </c>
    </row>
    <row r="282" spans="29:41">
      <c r="AJ282" s="142" t="str">
        <f t="shared" si="30"/>
        <v>P20S1A21</v>
      </c>
      <c r="AK282" s="142"/>
      <c r="AL282" s="142">
        <v>20</v>
      </c>
      <c r="AM282" s="142">
        <v>1</v>
      </c>
      <c r="AN282" s="142">
        <v>21</v>
      </c>
      <c r="AO282" s="143">
        <v>643</v>
      </c>
    </row>
    <row r="283" spans="29:41">
      <c r="AJ283" s="142" t="str">
        <f t="shared" si="30"/>
        <v>P20S1A22</v>
      </c>
      <c r="AK283" s="142"/>
      <c r="AL283" s="142">
        <v>20</v>
      </c>
      <c r="AM283" s="142">
        <v>1</v>
      </c>
      <c r="AN283" s="142">
        <v>22</v>
      </c>
      <c r="AO283" s="143">
        <v>650</v>
      </c>
    </row>
    <row r="284" spans="29:41">
      <c r="AJ284" s="142" t="str">
        <f t="shared" si="30"/>
        <v>P20S1A23</v>
      </c>
      <c r="AK284" s="142"/>
      <c r="AL284" s="142">
        <v>20</v>
      </c>
      <c r="AM284" s="142">
        <v>1</v>
      </c>
      <c r="AN284" s="142">
        <v>23</v>
      </c>
      <c r="AO284" s="143">
        <v>656</v>
      </c>
    </row>
    <row r="285" spans="29:41">
      <c r="AJ285" s="142" t="str">
        <f t="shared" si="30"/>
        <v>P20S1A24</v>
      </c>
      <c r="AK285" s="142"/>
      <c r="AL285" s="142">
        <v>20</v>
      </c>
      <c r="AM285" s="142">
        <v>1</v>
      </c>
      <c r="AN285" s="142">
        <v>24</v>
      </c>
      <c r="AO285" s="143">
        <v>663</v>
      </c>
    </row>
    <row r="286" spans="29:41">
      <c r="AJ286" s="142" t="str">
        <f t="shared" si="30"/>
        <v>P20S1A25</v>
      </c>
      <c r="AK286" s="142"/>
      <c r="AL286" s="142">
        <v>20</v>
      </c>
      <c r="AM286" s="142">
        <v>1</v>
      </c>
      <c r="AN286" s="142">
        <v>25</v>
      </c>
      <c r="AO286" s="143">
        <v>670</v>
      </c>
    </row>
    <row r="287" spans="29:41">
      <c r="AJ287" s="142" t="str">
        <f t="shared" si="30"/>
        <v>P20S1A26</v>
      </c>
      <c r="AK287" s="142"/>
      <c r="AL287" s="142">
        <v>20</v>
      </c>
      <c r="AM287" s="142">
        <v>1</v>
      </c>
      <c r="AN287" s="142">
        <v>26</v>
      </c>
      <c r="AO287" s="143">
        <v>677</v>
      </c>
    </row>
    <row r="288" spans="29:41">
      <c r="AJ288" s="142" t="str">
        <f t="shared" si="30"/>
        <v>P20S1A27</v>
      </c>
      <c r="AK288" s="142"/>
      <c r="AL288" s="142">
        <v>20</v>
      </c>
      <c r="AM288" s="142">
        <v>1</v>
      </c>
      <c r="AN288" s="142">
        <v>27</v>
      </c>
      <c r="AO288" s="143">
        <v>684</v>
      </c>
    </row>
    <row r="289" spans="36:41">
      <c r="AJ289" s="142" t="str">
        <f t="shared" si="30"/>
        <v>P20S1A28</v>
      </c>
      <c r="AK289" s="142"/>
      <c r="AL289" s="142">
        <v>20</v>
      </c>
      <c r="AM289" s="142">
        <v>1</v>
      </c>
      <c r="AN289" s="142">
        <v>28</v>
      </c>
      <c r="AO289" s="143">
        <v>691</v>
      </c>
    </row>
    <row r="290" spans="36:41">
      <c r="AJ290" s="142" t="str">
        <f t="shared" si="30"/>
        <v>P20S1A29</v>
      </c>
      <c r="AK290" s="142"/>
      <c r="AL290" s="142">
        <v>20</v>
      </c>
      <c r="AM290" s="142">
        <v>1</v>
      </c>
      <c r="AN290" s="142">
        <v>29</v>
      </c>
      <c r="AO290" s="143">
        <v>698</v>
      </c>
    </row>
    <row r="291" spans="36:41">
      <c r="AJ291" s="142" t="str">
        <f t="shared" si="30"/>
        <v>P20S1A30</v>
      </c>
      <c r="AK291" s="142"/>
      <c r="AL291" s="142">
        <v>20</v>
      </c>
      <c r="AM291" s="142">
        <v>1</v>
      </c>
      <c r="AN291" s="142">
        <v>30</v>
      </c>
      <c r="AO291" s="143">
        <v>705</v>
      </c>
    </row>
    <row r="292" spans="36:41">
      <c r="AJ292" s="142" t="str">
        <f t="shared" si="30"/>
        <v>P20S1A31</v>
      </c>
      <c r="AK292" s="142"/>
      <c r="AL292" s="142">
        <v>20</v>
      </c>
      <c r="AM292" s="142">
        <v>1</v>
      </c>
      <c r="AN292" s="142">
        <v>31</v>
      </c>
      <c r="AO292" s="143">
        <v>712</v>
      </c>
    </row>
    <row r="293" spans="36:41">
      <c r="AJ293" s="142" t="str">
        <f t="shared" si="30"/>
        <v>P20S1A32</v>
      </c>
      <c r="AK293" s="142"/>
      <c r="AL293" s="142">
        <v>20</v>
      </c>
      <c r="AM293" s="142">
        <v>1</v>
      </c>
      <c r="AN293" s="142">
        <v>32</v>
      </c>
      <c r="AO293" s="143">
        <v>720</v>
      </c>
    </row>
    <row r="294" spans="36:41">
      <c r="AJ294" s="142" t="str">
        <f t="shared" si="30"/>
        <v>P20S1A33</v>
      </c>
      <c r="AK294" s="142"/>
      <c r="AL294" s="142">
        <v>20</v>
      </c>
      <c r="AM294" s="142">
        <v>1</v>
      </c>
      <c r="AN294" s="142">
        <v>33</v>
      </c>
      <c r="AO294" s="143">
        <v>727</v>
      </c>
    </row>
    <row r="295" spans="36:41">
      <c r="AJ295" s="142" t="str">
        <f t="shared" si="30"/>
        <v>P20S1A34</v>
      </c>
      <c r="AK295" s="142"/>
      <c r="AL295" s="142">
        <v>20</v>
      </c>
      <c r="AM295" s="142">
        <v>1</v>
      </c>
      <c r="AN295" s="142">
        <v>34</v>
      </c>
      <c r="AO295" s="143">
        <v>735</v>
      </c>
    </row>
    <row r="296" spans="36:41">
      <c r="AJ296" s="142" t="str">
        <f t="shared" si="30"/>
        <v>P20S1A35</v>
      </c>
      <c r="AK296" s="142"/>
      <c r="AL296" s="142">
        <v>20</v>
      </c>
      <c r="AM296" s="142">
        <v>1</v>
      </c>
      <c r="AN296" s="142">
        <v>35</v>
      </c>
      <c r="AO296" s="143">
        <v>742</v>
      </c>
    </row>
    <row r="297" spans="36:41">
      <c r="AJ297" s="142" t="str">
        <f t="shared" si="30"/>
        <v>P20S1A36</v>
      </c>
      <c r="AK297" s="142"/>
      <c r="AL297" s="142">
        <v>20</v>
      </c>
      <c r="AM297" s="142">
        <v>1</v>
      </c>
      <c r="AN297" s="142">
        <v>36</v>
      </c>
      <c r="AO297" s="143">
        <v>750</v>
      </c>
    </row>
    <row r="298" spans="36:41">
      <c r="AJ298" s="142" t="str">
        <f t="shared" si="30"/>
        <v>P20S1A37</v>
      </c>
      <c r="AK298" s="142"/>
      <c r="AL298" s="142">
        <v>20</v>
      </c>
      <c r="AM298" s="142">
        <v>1</v>
      </c>
      <c r="AN298" s="142">
        <v>37</v>
      </c>
      <c r="AO298" s="143">
        <v>757</v>
      </c>
    </row>
    <row r="299" spans="36:41">
      <c r="AJ299" s="142" t="str">
        <f t="shared" si="30"/>
        <v>P20S1A38</v>
      </c>
      <c r="AK299" s="142"/>
      <c r="AL299" s="142">
        <v>20</v>
      </c>
      <c r="AM299" s="142">
        <v>1</v>
      </c>
      <c r="AN299" s="142">
        <v>38</v>
      </c>
      <c r="AO299" s="143">
        <v>764</v>
      </c>
    </row>
    <row r="300" spans="36:41">
      <c r="AJ300" s="142" t="str">
        <f t="shared" si="30"/>
        <v>P20S1A39</v>
      </c>
      <c r="AK300" s="142"/>
      <c r="AL300" s="142">
        <v>20</v>
      </c>
      <c r="AM300" s="142">
        <v>1</v>
      </c>
      <c r="AN300" s="142">
        <v>39</v>
      </c>
      <c r="AO300" s="143">
        <v>772</v>
      </c>
    </row>
    <row r="301" spans="36:41">
      <c r="AJ301" s="142" t="str">
        <f t="shared" si="30"/>
        <v>P20S1A40</v>
      </c>
      <c r="AK301" s="142"/>
      <c r="AL301" s="142">
        <v>20</v>
      </c>
      <c r="AM301" s="142">
        <v>1</v>
      </c>
      <c r="AN301" s="142">
        <v>40</v>
      </c>
      <c r="AO301" s="143">
        <v>780</v>
      </c>
    </row>
    <row r="302" spans="36:41">
      <c r="AJ302" s="142" t="str">
        <f t="shared" si="30"/>
        <v>P20S1A41</v>
      </c>
      <c r="AK302" s="142"/>
      <c r="AL302" s="142">
        <v>20</v>
      </c>
      <c r="AM302" s="142">
        <v>1</v>
      </c>
      <c r="AN302" s="142">
        <v>41</v>
      </c>
      <c r="AO302" s="143">
        <v>781</v>
      </c>
    </row>
    <row r="303" spans="36:41">
      <c r="AJ303" s="142" t="str">
        <f t="shared" si="30"/>
        <v>P20S1A42</v>
      </c>
      <c r="AK303" s="142"/>
      <c r="AL303" s="142">
        <v>20</v>
      </c>
      <c r="AM303" s="142">
        <v>1</v>
      </c>
      <c r="AN303" s="142">
        <v>42</v>
      </c>
      <c r="AO303" s="143">
        <v>782</v>
      </c>
    </row>
    <row r="304" spans="36:41">
      <c r="AJ304" s="142" t="str">
        <f t="shared" si="30"/>
        <v>P20S1A43</v>
      </c>
      <c r="AK304" s="142"/>
      <c r="AL304" s="142">
        <v>20</v>
      </c>
      <c r="AM304" s="142">
        <v>1</v>
      </c>
      <c r="AN304" s="142">
        <v>43</v>
      </c>
      <c r="AO304" s="143">
        <v>783</v>
      </c>
    </row>
    <row r="305" spans="36:41">
      <c r="AJ305" s="142" t="str">
        <f t="shared" si="30"/>
        <v>P20S1A44</v>
      </c>
      <c r="AK305" s="142"/>
      <c r="AL305" s="142">
        <v>20</v>
      </c>
      <c r="AM305" s="142">
        <v>1</v>
      </c>
      <c r="AN305" s="142">
        <v>44</v>
      </c>
      <c r="AO305" s="143">
        <v>787</v>
      </c>
    </row>
    <row r="306" spans="36:41">
      <c r="AJ306" s="142" t="str">
        <f t="shared" si="30"/>
        <v>P20S1A45</v>
      </c>
      <c r="AK306" s="142"/>
      <c r="AL306" s="142">
        <v>20</v>
      </c>
      <c r="AM306" s="142">
        <v>1</v>
      </c>
      <c r="AN306" s="142">
        <v>45</v>
      </c>
      <c r="AO306" s="143">
        <v>792</v>
      </c>
    </row>
    <row r="307" spans="36:41">
      <c r="AJ307" s="142" t="str">
        <f t="shared" si="30"/>
        <v>P20S1A46</v>
      </c>
      <c r="AK307" s="142"/>
      <c r="AL307" s="142">
        <v>20</v>
      </c>
      <c r="AM307" s="142">
        <v>1</v>
      </c>
      <c r="AN307" s="142">
        <v>46</v>
      </c>
      <c r="AO307" s="143">
        <v>800</v>
      </c>
    </row>
    <row r="308" spans="36:41">
      <c r="AJ308" s="142" t="str">
        <f t="shared" si="30"/>
        <v>P20S1A47</v>
      </c>
      <c r="AK308" s="142"/>
      <c r="AL308" s="142">
        <v>20</v>
      </c>
      <c r="AM308" s="142">
        <v>1</v>
      </c>
      <c r="AN308" s="142">
        <v>47</v>
      </c>
      <c r="AO308" s="143">
        <v>807</v>
      </c>
    </row>
    <row r="309" spans="36:41">
      <c r="AJ309" s="142" t="str">
        <f t="shared" si="30"/>
        <v>P20S1A48</v>
      </c>
      <c r="AK309" s="142"/>
      <c r="AL309" s="142">
        <v>20</v>
      </c>
      <c r="AM309" s="142">
        <v>1</v>
      </c>
      <c r="AN309" s="142">
        <v>48</v>
      </c>
      <c r="AO309" s="143">
        <v>813</v>
      </c>
    </row>
    <row r="310" spans="36:41">
      <c r="AJ310" s="142" t="str">
        <f t="shared" si="30"/>
        <v>P20S1A49</v>
      </c>
      <c r="AK310" s="142"/>
      <c r="AL310" s="142">
        <v>20</v>
      </c>
      <c r="AM310" s="142">
        <v>1</v>
      </c>
      <c r="AN310" s="142">
        <v>49</v>
      </c>
      <c r="AO310" s="143">
        <v>820</v>
      </c>
    </row>
    <row r="311" spans="36:41">
      <c r="AJ311" s="142" t="str">
        <f t="shared" si="30"/>
        <v>P20S1A50</v>
      </c>
      <c r="AK311" s="142"/>
      <c r="AL311" s="142">
        <v>20</v>
      </c>
      <c r="AM311" s="142">
        <v>1</v>
      </c>
      <c r="AN311" s="142">
        <v>50</v>
      </c>
      <c r="AO311" s="143">
        <v>825</v>
      </c>
    </row>
    <row r="312" spans="36:41">
      <c r="AJ312" s="142" t="str">
        <f t="shared" si="30"/>
        <v>P20S1A51</v>
      </c>
      <c r="AK312" s="142"/>
      <c r="AL312" s="142">
        <v>20</v>
      </c>
      <c r="AM312" s="142">
        <v>1</v>
      </c>
      <c r="AN312" s="142">
        <v>51</v>
      </c>
      <c r="AO312" s="143">
        <v>832</v>
      </c>
    </row>
    <row r="313" spans="36:41">
      <c r="AJ313" s="142" t="str">
        <f t="shared" si="30"/>
        <v>P20S1A52</v>
      </c>
      <c r="AK313" s="142"/>
      <c r="AL313" s="142">
        <v>20</v>
      </c>
      <c r="AM313" s="142">
        <v>1</v>
      </c>
      <c r="AN313" s="142">
        <v>52</v>
      </c>
      <c r="AO313" s="143">
        <v>838</v>
      </c>
    </row>
    <row r="314" spans="36:41">
      <c r="AJ314" s="142" t="str">
        <f t="shared" si="30"/>
        <v>P20S1A53</v>
      </c>
      <c r="AK314" s="142"/>
      <c r="AL314" s="142">
        <v>20</v>
      </c>
      <c r="AM314" s="142">
        <v>1</v>
      </c>
      <c r="AN314" s="142">
        <v>53</v>
      </c>
      <c r="AO314" s="143">
        <v>842</v>
      </c>
    </row>
    <row r="315" spans="36:41">
      <c r="AJ315" s="142" t="str">
        <f t="shared" si="30"/>
        <v>P20S1A54</v>
      </c>
      <c r="AK315" s="142"/>
      <c r="AL315" s="142">
        <v>20</v>
      </c>
      <c r="AM315" s="142">
        <v>1</v>
      </c>
      <c r="AN315" s="142">
        <v>54</v>
      </c>
      <c r="AO315" s="143">
        <v>847</v>
      </c>
    </row>
    <row r="316" spans="36:41">
      <c r="AJ316" s="142" t="str">
        <f t="shared" si="30"/>
        <v>P20S1A55</v>
      </c>
      <c r="AK316" s="142"/>
      <c r="AL316" s="142">
        <v>20</v>
      </c>
      <c r="AM316" s="142">
        <v>1</v>
      </c>
      <c r="AN316" s="142">
        <v>55</v>
      </c>
      <c r="AO316" s="143">
        <v>851</v>
      </c>
    </row>
    <row r="317" spans="36:41">
      <c r="AJ317" s="142" t="str">
        <f t="shared" si="30"/>
        <v>P20S1A56</v>
      </c>
      <c r="AK317" s="142"/>
      <c r="AL317" s="142">
        <v>20</v>
      </c>
      <c r="AM317" s="142">
        <v>1</v>
      </c>
      <c r="AN317" s="142">
        <v>56</v>
      </c>
      <c r="AO317" s="143">
        <v>854</v>
      </c>
    </row>
    <row r="318" spans="36:41">
      <c r="AJ318" s="142" t="str">
        <f t="shared" si="30"/>
        <v>P20S1A57</v>
      </c>
      <c r="AK318" s="142"/>
      <c r="AL318" s="142">
        <v>20</v>
      </c>
      <c r="AM318" s="142">
        <v>1</v>
      </c>
      <c r="AN318" s="142">
        <v>57</v>
      </c>
      <c r="AO318" s="143">
        <v>856</v>
      </c>
    </row>
    <row r="319" spans="36:41">
      <c r="AJ319" s="142" t="str">
        <f t="shared" si="30"/>
        <v>P20S1A58</v>
      </c>
      <c r="AK319" s="142"/>
      <c r="AL319" s="142">
        <v>20</v>
      </c>
      <c r="AM319" s="142">
        <v>1</v>
      </c>
      <c r="AN319" s="142">
        <v>58</v>
      </c>
      <c r="AO319" s="143">
        <v>859</v>
      </c>
    </row>
    <row r="320" spans="36:41">
      <c r="AJ320" s="142" t="str">
        <f t="shared" si="30"/>
        <v>P20S1A59</v>
      </c>
      <c r="AK320" s="142"/>
      <c r="AL320" s="142">
        <v>20</v>
      </c>
      <c r="AM320" s="142">
        <v>1</v>
      </c>
      <c r="AN320" s="142">
        <v>59</v>
      </c>
      <c r="AO320" s="143">
        <v>860</v>
      </c>
    </row>
    <row r="321" spans="36:41">
      <c r="AJ321" s="142" t="str">
        <f t="shared" si="30"/>
        <v>P20S1A60</v>
      </c>
      <c r="AK321" s="142"/>
      <c r="AL321" s="142">
        <v>20</v>
      </c>
      <c r="AM321" s="142">
        <v>1</v>
      </c>
      <c r="AN321" s="142">
        <v>60</v>
      </c>
      <c r="AO321" s="143">
        <v>862</v>
      </c>
    </row>
    <row r="322" spans="36:41">
      <c r="AJ322" s="142" t="str">
        <f t="shared" si="30"/>
        <v>P20S2A01</v>
      </c>
      <c r="AK322" s="142"/>
      <c r="AL322" s="142">
        <v>20</v>
      </c>
      <c r="AM322" s="142">
        <v>2</v>
      </c>
      <c r="AN322" s="142">
        <v>1</v>
      </c>
      <c r="AO322" s="143">
        <v>620</v>
      </c>
    </row>
    <row r="323" spans="36:41">
      <c r="AJ323" s="142" t="str">
        <f t="shared" ref="AJ323:AJ381" si="31">"P"&amp;REPT("0",2-LEN(AL323))&amp;AL323&amp;"S"&amp;AM323&amp;"A"&amp;REPT("0",2-LEN(AN323))&amp;AN323</f>
        <v>P20S2A02</v>
      </c>
      <c r="AK323" s="142"/>
      <c r="AL323" s="142">
        <v>20</v>
      </c>
      <c r="AM323" s="142">
        <v>2</v>
      </c>
      <c r="AN323" s="142">
        <v>2</v>
      </c>
      <c r="AO323" s="143">
        <v>627</v>
      </c>
    </row>
    <row r="324" spans="36:41">
      <c r="AJ324" s="142" t="str">
        <f t="shared" si="31"/>
        <v>P20S2A03</v>
      </c>
      <c r="AK324" s="142"/>
      <c r="AL324" s="142">
        <v>20</v>
      </c>
      <c r="AM324" s="142">
        <v>2</v>
      </c>
      <c r="AN324" s="142">
        <v>3</v>
      </c>
      <c r="AO324" s="143">
        <v>633</v>
      </c>
    </row>
    <row r="325" spans="36:41">
      <c r="AJ325" s="142" t="str">
        <f t="shared" si="31"/>
        <v>P20S2A04</v>
      </c>
      <c r="AK325" s="142"/>
      <c r="AL325" s="142">
        <v>20</v>
      </c>
      <c r="AM325" s="142">
        <v>2</v>
      </c>
      <c r="AN325" s="142">
        <v>4</v>
      </c>
      <c r="AO325" s="143">
        <v>639</v>
      </c>
    </row>
    <row r="326" spans="36:41">
      <c r="AJ326" s="142" t="str">
        <f t="shared" si="31"/>
        <v>P20S2A05</v>
      </c>
      <c r="AK326" s="142"/>
      <c r="AL326" s="142">
        <v>20</v>
      </c>
      <c r="AM326" s="142">
        <v>2</v>
      </c>
      <c r="AN326" s="142">
        <v>5</v>
      </c>
      <c r="AO326" s="143">
        <v>645</v>
      </c>
    </row>
    <row r="327" spans="36:41">
      <c r="AJ327" s="142" t="str">
        <f t="shared" si="31"/>
        <v>P20S2A06</v>
      </c>
      <c r="AK327" s="142"/>
      <c r="AL327" s="142">
        <v>20</v>
      </c>
      <c r="AM327" s="142">
        <v>2</v>
      </c>
      <c r="AN327" s="142">
        <v>6</v>
      </c>
      <c r="AO327" s="143">
        <v>651</v>
      </c>
    </row>
    <row r="328" spans="36:41">
      <c r="AJ328" s="142" t="str">
        <f t="shared" si="31"/>
        <v>P20S2A07</v>
      </c>
      <c r="AK328" s="142"/>
      <c r="AL328" s="142">
        <v>20</v>
      </c>
      <c r="AM328" s="142">
        <v>2</v>
      </c>
      <c r="AN328" s="142">
        <v>7</v>
      </c>
      <c r="AO328" s="143">
        <v>658</v>
      </c>
    </row>
    <row r="329" spans="36:41">
      <c r="AJ329" s="142" t="str">
        <f t="shared" si="31"/>
        <v>P20S2A08</v>
      </c>
      <c r="AK329" s="142"/>
      <c r="AL329" s="142">
        <v>20</v>
      </c>
      <c r="AM329" s="142">
        <v>2</v>
      </c>
      <c r="AN329" s="142">
        <v>8</v>
      </c>
      <c r="AO329" s="143">
        <v>664</v>
      </c>
    </row>
    <row r="330" spans="36:41">
      <c r="AJ330" s="142" t="str">
        <f t="shared" si="31"/>
        <v>P20S2A09</v>
      </c>
      <c r="AK330" s="142"/>
      <c r="AL330" s="142">
        <v>20</v>
      </c>
      <c r="AM330" s="142">
        <v>2</v>
      </c>
      <c r="AN330" s="142">
        <v>9</v>
      </c>
      <c r="AO330" s="143">
        <v>670</v>
      </c>
    </row>
    <row r="331" spans="36:41">
      <c r="AJ331" s="142" t="str">
        <f t="shared" si="31"/>
        <v>P20S2A10</v>
      </c>
      <c r="AK331" s="142"/>
      <c r="AL331" s="142">
        <v>20</v>
      </c>
      <c r="AM331" s="142">
        <v>2</v>
      </c>
      <c r="AN331" s="142">
        <v>10</v>
      </c>
      <c r="AO331" s="143">
        <v>677</v>
      </c>
    </row>
    <row r="332" spans="36:41">
      <c r="AJ332" s="142" t="str">
        <f t="shared" si="31"/>
        <v>P20S2A11</v>
      </c>
      <c r="AK332" s="142"/>
      <c r="AL332" s="142">
        <v>20</v>
      </c>
      <c r="AM332" s="142">
        <v>2</v>
      </c>
      <c r="AN332" s="142">
        <v>11</v>
      </c>
      <c r="AO332" s="143">
        <v>684</v>
      </c>
    </row>
    <row r="333" spans="36:41">
      <c r="AJ333" s="142" t="str">
        <f t="shared" si="31"/>
        <v>P20S2A12</v>
      </c>
      <c r="AK333" s="142"/>
      <c r="AL333" s="142">
        <v>20</v>
      </c>
      <c r="AM333" s="142">
        <v>2</v>
      </c>
      <c r="AN333" s="142">
        <v>12</v>
      </c>
      <c r="AO333" s="143">
        <v>690</v>
      </c>
    </row>
    <row r="334" spans="36:41">
      <c r="AJ334" s="142" t="str">
        <f t="shared" si="31"/>
        <v>P20S2A13</v>
      </c>
      <c r="AK334" s="142"/>
      <c r="AL334" s="142">
        <v>20</v>
      </c>
      <c r="AM334" s="142">
        <v>2</v>
      </c>
      <c r="AN334" s="142">
        <v>13</v>
      </c>
      <c r="AO334" s="143">
        <v>697</v>
      </c>
    </row>
    <row r="335" spans="36:41">
      <c r="AJ335" s="142" t="str">
        <f t="shared" si="31"/>
        <v>P20S2A14</v>
      </c>
      <c r="AK335" s="142"/>
      <c r="AL335" s="142">
        <v>20</v>
      </c>
      <c r="AM335" s="142">
        <v>2</v>
      </c>
      <c r="AN335" s="142">
        <v>14</v>
      </c>
      <c r="AO335" s="143">
        <v>704</v>
      </c>
    </row>
    <row r="336" spans="36:41">
      <c r="AJ336" s="142" t="str">
        <f t="shared" si="31"/>
        <v>P20S2A15</v>
      </c>
      <c r="AK336" s="142"/>
      <c r="AL336" s="142">
        <v>20</v>
      </c>
      <c r="AM336" s="142">
        <v>2</v>
      </c>
      <c r="AN336" s="142">
        <v>15</v>
      </c>
      <c r="AO336" s="143">
        <v>711</v>
      </c>
    </row>
    <row r="337" spans="36:41">
      <c r="AJ337" s="142" t="str">
        <f t="shared" si="31"/>
        <v>P20S2A16</v>
      </c>
      <c r="AK337" s="142"/>
      <c r="AL337" s="142">
        <v>20</v>
      </c>
      <c r="AM337" s="142">
        <v>2</v>
      </c>
      <c r="AN337" s="142">
        <v>16</v>
      </c>
      <c r="AO337" s="143">
        <v>718</v>
      </c>
    </row>
    <row r="338" spans="36:41">
      <c r="AJ338" s="142" t="str">
        <f t="shared" si="31"/>
        <v>P20S2A17</v>
      </c>
      <c r="AK338" s="142"/>
      <c r="AL338" s="142">
        <v>20</v>
      </c>
      <c r="AM338" s="142">
        <v>2</v>
      </c>
      <c r="AN338" s="142">
        <v>17</v>
      </c>
      <c r="AO338" s="143">
        <v>725</v>
      </c>
    </row>
    <row r="339" spans="36:41">
      <c r="AJ339" s="142" t="str">
        <f t="shared" si="31"/>
        <v>P20S2A18</v>
      </c>
      <c r="AK339" s="142"/>
      <c r="AL339" s="142">
        <v>20</v>
      </c>
      <c r="AM339" s="142">
        <v>2</v>
      </c>
      <c r="AN339" s="142">
        <v>18</v>
      </c>
      <c r="AO339" s="143">
        <v>732</v>
      </c>
    </row>
    <row r="340" spans="36:41">
      <c r="AJ340" s="142" t="str">
        <f t="shared" si="31"/>
        <v>P20S2A19</v>
      </c>
      <c r="AK340" s="142"/>
      <c r="AL340" s="142">
        <v>20</v>
      </c>
      <c r="AM340" s="142">
        <v>2</v>
      </c>
      <c r="AN340" s="142">
        <v>19</v>
      </c>
      <c r="AO340" s="143">
        <v>740</v>
      </c>
    </row>
    <row r="341" spans="36:41">
      <c r="AJ341" s="142" t="str">
        <f t="shared" si="31"/>
        <v>P20S2A20</v>
      </c>
      <c r="AK341" s="142"/>
      <c r="AL341" s="142">
        <v>20</v>
      </c>
      <c r="AM341" s="142">
        <v>2</v>
      </c>
      <c r="AN341" s="142">
        <v>20</v>
      </c>
      <c r="AO341" s="143">
        <v>747</v>
      </c>
    </row>
    <row r="342" spans="36:41">
      <c r="AJ342" s="142" t="str">
        <f t="shared" si="31"/>
        <v>P20S2A21</v>
      </c>
      <c r="AK342" s="142"/>
      <c r="AL342" s="142">
        <v>20</v>
      </c>
      <c r="AM342" s="142">
        <v>2</v>
      </c>
      <c r="AN342" s="142">
        <v>21</v>
      </c>
      <c r="AO342" s="143">
        <v>755</v>
      </c>
    </row>
    <row r="343" spans="36:41">
      <c r="AJ343" s="142" t="str">
        <f t="shared" si="31"/>
        <v>P20S2A22</v>
      </c>
      <c r="AK343" s="142"/>
      <c r="AL343" s="142">
        <v>20</v>
      </c>
      <c r="AM343" s="142">
        <v>2</v>
      </c>
      <c r="AN343" s="142">
        <v>22</v>
      </c>
      <c r="AO343" s="143">
        <v>762</v>
      </c>
    </row>
    <row r="344" spans="36:41">
      <c r="AJ344" s="142" t="str">
        <f t="shared" si="31"/>
        <v>P20S2A23</v>
      </c>
      <c r="AK344" s="142"/>
      <c r="AL344" s="142">
        <v>20</v>
      </c>
      <c r="AM344" s="142">
        <v>2</v>
      </c>
      <c r="AN344" s="142">
        <v>23</v>
      </c>
      <c r="AO344" s="143">
        <v>770</v>
      </c>
    </row>
    <row r="345" spans="36:41">
      <c r="AJ345" s="142" t="str">
        <f t="shared" si="31"/>
        <v>P20S2A24</v>
      </c>
      <c r="AK345" s="142"/>
      <c r="AL345" s="142">
        <v>20</v>
      </c>
      <c r="AM345" s="142">
        <v>2</v>
      </c>
      <c r="AN345" s="142">
        <v>24</v>
      </c>
      <c r="AO345" s="143">
        <v>778</v>
      </c>
    </row>
    <row r="346" spans="36:41">
      <c r="AJ346" s="142" t="str">
        <f t="shared" si="31"/>
        <v>P20S2A25</v>
      </c>
      <c r="AK346" s="142"/>
      <c r="AL346" s="142">
        <v>20</v>
      </c>
      <c r="AM346" s="142">
        <v>2</v>
      </c>
      <c r="AN346" s="142">
        <v>25</v>
      </c>
      <c r="AO346" s="143">
        <v>785</v>
      </c>
    </row>
    <row r="347" spans="36:41">
      <c r="AJ347" s="142" t="str">
        <f t="shared" si="31"/>
        <v>P20S2A26</v>
      </c>
      <c r="AK347" s="142"/>
      <c r="AL347" s="142">
        <v>20</v>
      </c>
      <c r="AM347" s="142">
        <v>2</v>
      </c>
      <c r="AN347" s="142">
        <v>26</v>
      </c>
      <c r="AO347" s="143">
        <v>793</v>
      </c>
    </row>
    <row r="348" spans="36:41">
      <c r="AJ348" s="142" t="str">
        <f t="shared" si="31"/>
        <v>P20S2A27</v>
      </c>
      <c r="AK348" s="142"/>
      <c r="AL348" s="142">
        <v>20</v>
      </c>
      <c r="AM348" s="142">
        <v>2</v>
      </c>
      <c r="AN348" s="142">
        <v>27</v>
      </c>
      <c r="AO348" s="143">
        <v>801</v>
      </c>
    </row>
    <row r="349" spans="36:41">
      <c r="AJ349" s="142" t="str">
        <f t="shared" si="31"/>
        <v>P20S2A28</v>
      </c>
      <c r="AK349" s="142"/>
      <c r="AL349" s="142">
        <v>20</v>
      </c>
      <c r="AM349" s="142">
        <v>2</v>
      </c>
      <c r="AN349" s="142">
        <v>28</v>
      </c>
      <c r="AO349" s="143">
        <v>809</v>
      </c>
    </row>
    <row r="350" spans="36:41">
      <c r="AJ350" s="142" t="str">
        <f t="shared" si="31"/>
        <v>P20S2A29</v>
      </c>
      <c r="AK350" s="142"/>
      <c r="AL350" s="142">
        <v>20</v>
      </c>
      <c r="AM350" s="142">
        <v>2</v>
      </c>
      <c r="AN350" s="142">
        <v>29</v>
      </c>
      <c r="AO350" s="143">
        <v>817</v>
      </c>
    </row>
    <row r="351" spans="36:41">
      <c r="AJ351" s="142" t="str">
        <f t="shared" si="31"/>
        <v>P20S2A30</v>
      </c>
      <c r="AK351" s="142"/>
      <c r="AL351" s="142">
        <v>20</v>
      </c>
      <c r="AM351" s="142">
        <v>2</v>
      </c>
      <c r="AN351" s="142">
        <v>30</v>
      </c>
      <c r="AO351" s="143">
        <v>826</v>
      </c>
    </row>
    <row r="352" spans="36:41">
      <c r="AJ352" s="142" t="str">
        <f t="shared" si="31"/>
        <v>P20S2A31</v>
      </c>
      <c r="AK352" s="142"/>
      <c r="AL352" s="142">
        <v>20</v>
      </c>
      <c r="AM352" s="142">
        <v>2</v>
      </c>
      <c r="AN352" s="142">
        <v>31</v>
      </c>
      <c r="AO352" s="143">
        <v>834</v>
      </c>
    </row>
    <row r="353" spans="36:41">
      <c r="AJ353" s="142" t="str">
        <f t="shared" si="31"/>
        <v>P20S2A32</v>
      </c>
      <c r="AK353" s="142"/>
      <c r="AL353" s="142">
        <v>20</v>
      </c>
      <c r="AM353" s="142">
        <v>2</v>
      </c>
      <c r="AN353" s="142">
        <v>32</v>
      </c>
      <c r="AO353" s="143">
        <v>841</v>
      </c>
    </row>
    <row r="354" spans="36:41">
      <c r="AJ354" s="142" t="str">
        <f t="shared" si="31"/>
        <v>P20S2A33</v>
      </c>
      <c r="AK354" s="142"/>
      <c r="AL354" s="142">
        <v>20</v>
      </c>
      <c r="AM354" s="142">
        <v>2</v>
      </c>
      <c r="AN354" s="142">
        <v>33</v>
      </c>
      <c r="AO354" s="143">
        <v>851</v>
      </c>
    </row>
    <row r="355" spans="36:41">
      <c r="AJ355" s="142" t="str">
        <f t="shared" si="31"/>
        <v>P20S2A34</v>
      </c>
      <c r="AK355" s="142"/>
      <c r="AL355" s="142">
        <v>20</v>
      </c>
      <c r="AM355" s="142">
        <v>2</v>
      </c>
      <c r="AN355" s="142">
        <v>34</v>
      </c>
      <c r="AO355" s="143">
        <v>859</v>
      </c>
    </row>
    <row r="356" spans="36:41">
      <c r="AJ356" s="142" t="str">
        <f t="shared" si="31"/>
        <v>P20S2A35</v>
      </c>
      <c r="AK356" s="142"/>
      <c r="AL356" s="142">
        <v>20</v>
      </c>
      <c r="AM356" s="142">
        <v>2</v>
      </c>
      <c r="AN356" s="142">
        <v>35</v>
      </c>
      <c r="AO356" s="143">
        <v>868</v>
      </c>
    </row>
    <row r="357" spans="36:41">
      <c r="AJ357" s="142" t="str">
        <f t="shared" si="31"/>
        <v>P20S2A36</v>
      </c>
      <c r="AK357" s="142"/>
      <c r="AL357" s="142">
        <v>20</v>
      </c>
      <c r="AM357" s="142">
        <v>2</v>
      </c>
      <c r="AN357" s="142">
        <v>36</v>
      </c>
      <c r="AO357" s="143">
        <v>876</v>
      </c>
    </row>
    <row r="358" spans="36:41">
      <c r="AJ358" s="142" t="str">
        <f t="shared" si="31"/>
        <v>P20S2A37</v>
      </c>
      <c r="AK358" s="142"/>
      <c r="AL358" s="142">
        <v>20</v>
      </c>
      <c r="AM358" s="142">
        <v>2</v>
      </c>
      <c r="AN358" s="142">
        <v>37</v>
      </c>
      <c r="AO358" s="143">
        <v>884</v>
      </c>
    </row>
    <row r="359" spans="36:41">
      <c r="AJ359" s="142" t="str">
        <f t="shared" si="31"/>
        <v>P20S2A38</v>
      </c>
      <c r="AK359" s="142"/>
      <c r="AL359" s="142">
        <v>20</v>
      </c>
      <c r="AM359" s="142">
        <v>2</v>
      </c>
      <c r="AN359" s="142">
        <v>38</v>
      </c>
      <c r="AO359" s="143">
        <v>893</v>
      </c>
    </row>
    <row r="360" spans="36:41">
      <c r="AJ360" s="142" t="str">
        <f t="shared" si="31"/>
        <v>P20S2A39</v>
      </c>
      <c r="AK360" s="142"/>
      <c r="AL360" s="142">
        <v>20</v>
      </c>
      <c r="AM360" s="142">
        <v>2</v>
      </c>
      <c r="AN360" s="142">
        <v>39</v>
      </c>
      <c r="AO360" s="143">
        <v>899</v>
      </c>
    </row>
    <row r="361" spans="36:41">
      <c r="AJ361" s="142" t="str">
        <f t="shared" si="31"/>
        <v>P20S2A40</v>
      </c>
      <c r="AK361" s="142"/>
      <c r="AL361" s="142">
        <v>20</v>
      </c>
      <c r="AM361" s="142">
        <v>2</v>
      </c>
      <c r="AN361" s="142">
        <v>40</v>
      </c>
      <c r="AO361" s="143">
        <v>906</v>
      </c>
    </row>
    <row r="362" spans="36:41">
      <c r="AJ362" s="142" t="str">
        <f t="shared" si="31"/>
        <v>P20S2A41</v>
      </c>
      <c r="AK362" s="142"/>
      <c r="AL362" s="142">
        <v>20</v>
      </c>
      <c r="AM362" s="142">
        <v>2</v>
      </c>
      <c r="AN362" s="142">
        <v>41</v>
      </c>
      <c r="AO362" s="143">
        <v>912</v>
      </c>
    </row>
    <row r="363" spans="36:41">
      <c r="AJ363" s="142" t="str">
        <f t="shared" si="31"/>
        <v>P20S2A42</v>
      </c>
      <c r="AK363" s="142"/>
      <c r="AL363" s="142">
        <v>20</v>
      </c>
      <c r="AM363" s="142">
        <v>2</v>
      </c>
      <c r="AN363" s="142">
        <v>42</v>
      </c>
      <c r="AO363" s="143">
        <v>914</v>
      </c>
    </row>
    <row r="364" spans="36:41">
      <c r="AJ364" s="142" t="str">
        <f t="shared" si="31"/>
        <v>P20S2A43</v>
      </c>
      <c r="AK364" s="142"/>
      <c r="AL364" s="142">
        <v>20</v>
      </c>
      <c r="AM364" s="142">
        <v>2</v>
      </c>
      <c r="AN364" s="142">
        <v>43</v>
      </c>
      <c r="AO364" s="143">
        <v>916</v>
      </c>
    </row>
    <row r="365" spans="36:41">
      <c r="AJ365" s="142" t="str">
        <f t="shared" si="31"/>
        <v>P20S2A44</v>
      </c>
      <c r="AK365" s="142"/>
      <c r="AL365" s="142">
        <v>20</v>
      </c>
      <c r="AM365" s="142">
        <v>2</v>
      </c>
      <c r="AN365" s="142">
        <v>44</v>
      </c>
      <c r="AO365" s="143">
        <v>920</v>
      </c>
    </row>
    <row r="366" spans="36:41">
      <c r="AJ366" s="142" t="str">
        <f t="shared" si="31"/>
        <v>P20S2A45</v>
      </c>
      <c r="AK366" s="142"/>
      <c r="AL366" s="142">
        <v>20</v>
      </c>
      <c r="AM366" s="142">
        <v>2</v>
      </c>
      <c r="AN366" s="142">
        <v>45</v>
      </c>
      <c r="AO366" s="143">
        <v>924</v>
      </c>
    </row>
    <row r="367" spans="36:41">
      <c r="AJ367" s="142" t="str">
        <f t="shared" si="31"/>
        <v>P20S2A46</v>
      </c>
      <c r="AK367" s="142"/>
      <c r="AL367" s="142">
        <v>20</v>
      </c>
      <c r="AM367" s="142">
        <v>2</v>
      </c>
      <c r="AN367" s="142">
        <v>46</v>
      </c>
      <c r="AO367" s="143">
        <v>927</v>
      </c>
    </row>
    <row r="368" spans="36:41">
      <c r="AJ368" s="142" t="str">
        <f t="shared" si="31"/>
        <v>P20S2A47</v>
      </c>
      <c r="AK368" s="142"/>
      <c r="AL368" s="142">
        <v>20</v>
      </c>
      <c r="AM368" s="142">
        <v>2</v>
      </c>
      <c r="AN368" s="142">
        <v>47</v>
      </c>
      <c r="AO368" s="143">
        <v>928</v>
      </c>
    </row>
    <row r="369" spans="36:41">
      <c r="AJ369" s="142" t="str">
        <f t="shared" si="31"/>
        <v>P20S2A48</v>
      </c>
      <c r="AK369" s="142"/>
      <c r="AL369" s="142">
        <v>20</v>
      </c>
      <c r="AM369" s="142">
        <v>2</v>
      </c>
      <c r="AN369" s="142">
        <v>48</v>
      </c>
      <c r="AO369" s="143">
        <v>929</v>
      </c>
    </row>
    <row r="370" spans="36:41">
      <c r="AJ370" s="142" t="str">
        <f t="shared" si="31"/>
        <v>P20S2A49</v>
      </c>
      <c r="AK370" s="142"/>
      <c r="AL370" s="142">
        <v>20</v>
      </c>
      <c r="AM370" s="142">
        <v>2</v>
      </c>
      <c r="AN370" s="142">
        <v>49</v>
      </c>
      <c r="AO370" s="143">
        <v>930</v>
      </c>
    </row>
    <row r="371" spans="36:41">
      <c r="AJ371" s="142" t="str">
        <f t="shared" si="31"/>
        <v>P20S2A50</v>
      </c>
      <c r="AK371" s="142"/>
      <c r="AL371" s="142">
        <v>20</v>
      </c>
      <c r="AM371" s="142">
        <v>2</v>
      </c>
      <c r="AN371" s="142">
        <v>50</v>
      </c>
      <c r="AO371" s="143">
        <v>931</v>
      </c>
    </row>
    <row r="372" spans="36:41">
      <c r="AJ372" s="142" t="str">
        <f t="shared" si="31"/>
        <v>P20S2A51</v>
      </c>
      <c r="AK372" s="142"/>
      <c r="AL372" s="142">
        <v>20</v>
      </c>
      <c r="AM372" s="142">
        <v>2</v>
      </c>
      <c r="AN372" s="142">
        <v>51</v>
      </c>
      <c r="AO372" s="143">
        <v>932</v>
      </c>
    </row>
    <row r="373" spans="36:41">
      <c r="AJ373" s="142" t="str">
        <f t="shared" si="31"/>
        <v>P20S2A52</v>
      </c>
      <c r="AK373" s="142"/>
      <c r="AL373" s="142">
        <v>20</v>
      </c>
      <c r="AM373" s="142">
        <v>2</v>
      </c>
      <c r="AN373" s="142">
        <v>52</v>
      </c>
      <c r="AO373" s="143">
        <v>933</v>
      </c>
    </row>
    <row r="374" spans="36:41">
      <c r="AJ374" s="142" t="str">
        <f t="shared" si="31"/>
        <v>P20S2A53</v>
      </c>
      <c r="AK374" s="142"/>
      <c r="AL374" s="142">
        <v>20</v>
      </c>
      <c r="AM374" s="142">
        <v>2</v>
      </c>
      <c r="AN374" s="142">
        <v>53</v>
      </c>
      <c r="AO374" s="143">
        <v>935</v>
      </c>
    </row>
    <row r="375" spans="36:41">
      <c r="AJ375" s="142" t="str">
        <f t="shared" si="31"/>
        <v>P20S2A54</v>
      </c>
      <c r="AK375" s="142"/>
      <c r="AL375" s="142">
        <v>20</v>
      </c>
      <c r="AM375" s="142">
        <v>2</v>
      </c>
      <c r="AN375" s="142">
        <v>54</v>
      </c>
      <c r="AO375" s="143">
        <v>935</v>
      </c>
    </row>
    <row r="376" spans="36:41">
      <c r="AJ376" s="142" t="str">
        <f t="shared" si="31"/>
        <v>P20S2A55</v>
      </c>
      <c r="AK376" s="142"/>
      <c r="AL376" s="142">
        <v>20</v>
      </c>
      <c r="AM376" s="142">
        <v>2</v>
      </c>
      <c r="AN376" s="142">
        <v>55</v>
      </c>
      <c r="AO376" s="143">
        <v>935</v>
      </c>
    </row>
    <row r="377" spans="36:41">
      <c r="AJ377" s="142" t="str">
        <f t="shared" si="31"/>
        <v>P20S2A56</v>
      </c>
      <c r="AK377" s="142"/>
      <c r="AL377" s="142">
        <v>20</v>
      </c>
      <c r="AM377" s="142">
        <v>2</v>
      </c>
      <c r="AN377" s="142">
        <v>56</v>
      </c>
      <c r="AO377" s="143">
        <v>936</v>
      </c>
    </row>
    <row r="378" spans="36:41">
      <c r="AJ378" s="142" t="str">
        <f t="shared" si="31"/>
        <v>P20S2A57</v>
      </c>
      <c r="AK378" s="142"/>
      <c r="AL378" s="142">
        <v>20</v>
      </c>
      <c r="AM378" s="142">
        <v>2</v>
      </c>
      <c r="AN378" s="142">
        <v>57</v>
      </c>
      <c r="AO378" s="143">
        <v>937</v>
      </c>
    </row>
    <row r="379" spans="36:41">
      <c r="AJ379" s="142" t="str">
        <f t="shared" si="31"/>
        <v>P20S2A58</v>
      </c>
      <c r="AK379" s="142"/>
      <c r="AL379" s="142">
        <v>20</v>
      </c>
      <c r="AM379" s="142">
        <v>2</v>
      </c>
      <c r="AN379" s="142">
        <v>58</v>
      </c>
      <c r="AO379" s="143">
        <v>938</v>
      </c>
    </row>
    <row r="380" spans="36:41">
      <c r="AJ380" s="142" t="str">
        <f t="shared" si="31"/>
        <v>P20S2A59</v>
      </c>
      <c r="AK380" s="142"/>
      <c r="AL380" s="142">
        <v>20</v>
      </c>
      <c r="AM380" s="142">
        <v>2</v>
      </c>
      <c r="AN380" s="142">
        <v>59</v>
      </c>
      <c r="AO380" s="143">
        <v>941</v>
      </c>
    </row>
    <row r="381" spans="36:41">
      <c r="AJ381" s="142" t="str">
        <f t="shared" si="31"/>
        <v>P20S2A60</v>
      </c>
      <c r="AK381" s="142"/>
      <c r="AL381" s="142">
        <v>20</v>
      </c>
      <c r="AM381" s="142">
        <v>2</v>
      </c>
      <c r="AN381" s="142">
        <v>60</v>
      </c>
      <c r="AO381" s="143">
        <v>943</v>
      </c>
    </row>
  </sheetData>
  <sheetProtection algorithmName="SHA-512" hashValue="rrdZXb5JiII93/0OvlUP+7IiMvVHFkdyQdKBpcIwtEmSQdE7AQToaQL/z2R8pMmVVcKuW4Zemv/4Xa66f5/DbQ==" saltValue="JlILD3YItLyQis9uwPUjPQ==" spinCount="100000" sheet="1" selectLockedCells="1"/>
  <phoneticPr fontId="9"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F8956-9EFD-0A42-8278-B8039CA1B047}">
  <sheetPr>
    <tabColor rgb="FFFF5757"/>
  </sheetPr>
  <dimension ref="A1:BK913"/>
  <sheetViews>
    <sheetView topLeftCell="BK1" workbookViewId="0">
      <selection activeCell="C5" sqref="C5:J5"/>
    </sheetView>
  </sheetViews>
  <sheetFormatPr defaultColWidth="11.453125" defaultRowHeight="17"/>
  <cols>
    <col min="1" max="1" width="11.7265625" style="38" hidden="1" customWidth="1"/>
    <col min="2" max="6" width="8.6328125" style="38" hidden="1" customWidth="1"/>
    <col min="7" max="7" width="8.6328125" style="35" hidden="1" customWidth="1"/>
    <col min="8" max="8" width="10.453125" style="38" hidden="1" customWidth="1"/>
    <col min="9" max="11" width="8.6328125" style="38" hidden="1" customWidth="1"/>
    <col min="12" max="12" width="15" style="36" hidden="1" customWidth="1"/>
    <col min="13" max="13" width="14.6328125" style="36" hidden="1" customWidth="1"/>
    <col min="14" max="14" width="12.6328125" style="36" hidden="1" customWidth="1"/>
    <col min="15" max="15" width="7.6328125" style="36" hidden="1" customWidth="1"/>
    <col min="16" max="17" width="7.453125" style="36" hidden="1" customWidth="1"/>
    <col min="18" max="18" width="8.6328125" style="35" hidden="1" customWidth="1"/>
    <col min="19" max="19" width="8.6328125" style="38" hidden="1" customWidth="1"/>
    <col min="20" max="20" width="15.08984375" style="38" hidden="1" customWidth="1"/>
    <col min="21" max="27" width="8.6328125" style="38" hidden="1" customWidth="1"/>
    <col min="28" max="28" width="12.08984375" style="38" hidden="1" customWidth="1"/>
    <col min="29" max="34" width="8.6328125" style="38" hidden="1" customWidth="1"/>
    <col min="35" max="35" width="8.6328125" style="35" hidden="1" customWidth="1"/>
    <col min="36" max="42" width="8.6328125" style="38" hidden="1" customWidth="1"/>
    <col min="43" max="51" width="11" style="38" hidden="1" customWidth="1"/>
    <col min="52" max="56" width="11" style="53" hidden="1" customWidth="1"/>
    <col min="57" max="62" width="11.453125" style="173" hidden="1" customWidth="1"/>
    <col min="63" max="63" width="11.453125" style="173" customWidth="1"/>
    <col min="64" max="64" width="11.453125" customWidth="1"/>
  </cols>
  <sheetData>
    <row r="1" spans="1:62" ht="26">
      <c r="A1" s="33" t="s">
        <v>120</v>
      </c>
      <c r="B1" s="34" t="s">
        <v>108</v>
      </c>
      <c r="C1" s="34" t="s">
        <v>109</v>
      </c>
      <c r="D1" s="34" t="s">
        <v>110</v>
      </c>
      <c r="E1" s="34" t="s">
        <v>111</v>
      </c>
      <c r="F1" s="34" t="s">
        <v>112</v>
      </c>
      <c r="H1" s="36"/>
      <c r="I1" s="36"/>
      <c r="J1" s="37" t="s">
        <v>121</v>
      </c>
      <c r="L1" s="33" t="s">
        <v>122</v>
      </c>
      <c r="M1" s="39" t="s">
        <v>123</v>
      </c>
      <c r="N1" s="39" t="s">
        <v>28</v>
      </c>
      <c r="O1" s="39" t="s">
        <v>29</v>
      </c>
      <c r="P1" s="39" t="s">
        <v>30</v>
      </c>
      <c r="Q1" s="40" t="s">
        <v>31</v>
      </c>
      <c r="T1" s="33" t="s">
        <v>166</v>
      </c>
      <c r="U1" s="36"/>
      <c r="V1" s="36"/>
      <c r="W1" s="36"/>
      <c r="X1" s="36"/>
      <c r="Y1" s="36"/>
      <c r="Z1" s="37" t="s">
        <v>124</v>
      </c>
      <c r="AB1" s="33" t="s">
        <v>125</v>
      </c>
      <c r="AC1" s="36"/>
      <c r="AD1" s="36"/>
      <c r="AE1" s="36"/>
      <c r="AF1" s="36"/>
      <c r="AG1" s="36"/>
      <c r="AH1" s="37" t="s">
        <v>126</v>
      </c>
      <c r="AJ1" s="33" t="s">
        <v>127</v>
      </c>
      <c r="AK1" s="36"/>
      <c r="AL1" s="36"/>
      <c r="AM1" s="36"/>
      <c r="AN1" s="36"/>
      <c r="AO1" s="36"/>
      <c r="AP1" s="37" t="s">
        <v>126</v>
      </c>
      <c r="AS1" s="42" t="s">
        <v>128</v>
      </c>
      <c r="AT1" s="41" t="s">
        <v>109</v>
      </c>
      <c r="AU1" s="41" t="s">
        <v>110</v>
      </c>
      <c r="AV1" s="41" t="s">
        <v>111</v>
      </c>
      <c r="AW1" s="41" t="s">
        <v>112</v>
      </c>
      <c r="AZ1" s="43" t="s">
        <v>129</v>
      </c>
      <c r="BA1" s="44" t="s">
        <v>109</v>
      </c>
      <c r="BB1" s="44" t="s">
        <v>110</v>
      </c>
      <c r="BC1" s="44" t="s">
        <v>111</v>
      </c>
      <c r="BD1" s="44" t="s">
        <v>112</v>
      </c>
      <c r="BF1" s="43" t="s">
        <v>314</v>
      </c>
      <c r="BG1" s="44" t="s">
        <v>109</v>
      </c>
      <c r="BH1" s="44" t="s">
        <v>110</v>
      </c>
      <c r="BI1" s="44" t="s">
        <v>111</v>
      </c>
      <c r="BJ1" s="44" t="s">
        <v>112</v>
      </c>
    </row>
    <row r="2" spans="1:62">
      <c r="A2" s="38" t="str">
        <f t="shared" ref="A2:A33" si="0">"P"&amp;REPT("0",2-LEN(C2))&amp;C2&amp;"S"&amp;D2&amp;"A"&amp;REPT("0",2-LEN(E2))&amp;E2</f>
        <v>P06S1A15</v>
      </c>
      <c r="B2" s="45" t="s">
        <v>130</v>
      </c>
      <c r="C2" s="38">
        <v>6</v>
      </c>
      <c r="D2" s="38">
        <v>1</v>
      </c>
      <c r="E2" s="38">
        <v>15</v>
      </c>
      <c r="F2" s="38">
        <v>11</v>
      </c>
      <c r="H2" s="46" t="s">
        <v>131</v>
      </c>
      <c r="I2" s="47" t="s">
        <v>132</v>
      </c>
      <c r="J2" s="48" t="s">
        <v>133</v>
      </c>
      <c r="L2" s="36" t="str">
        <f t="shared" ref="L2:L33" si="1">"P"&amp;M2&amp;"S"&amp;O2&amp;"A"&amp;REPT("0",2-LEN(P2))&amp;P2</f>
        <v>P1S1A00</v>
      </c>
      <c r="M2" s="49">
        <v>1</v>
      </c>
      <c r="N2" s="49">
        <v>1</v>
      </c>
      <c r="O2" s="49">
        <v>1</v>
      </c>
      <c r="P2" s="50" t="s">
        <v>32</v>
      </c>
      <c r="Q2" s="51">
        <v>1222</v>
      </c>
      <c r="T2" s="52" t="s">
        <v>134</v>
      </c>
      <c r="U2" s="52" t="s">
        <v>135</v>
      </c>
      <c r="V2" s="52" t="s">
        <v>136</v>
      </c>
      <c r="W2" s="52" t="s">
        <v>137</v>
      </c>
      <c r="X2" s="52" t="s">
        <v>138</v>
      </c>
      <c r="Y2" s="52" t="s">
        <v>139</v>
      </c>
      <c r="Z2" s="52" t="s">
        <v>140</v>
      </c>
      <c r="AB2" s="52" t="s">
        <v>141</v>
      </c>
      <c r="AC2" s="52" t="s">
        <v>135</v>
      </c>
      <c r="AD2" s="52" t="s">
        <v>136</v>
      </c>
      <c r="AE2" s="52" t="s">
        <v>137</v>
      </c>
      <c r="AF2" s="52" t="s">
        <v>138</v>
      </c>
      <c r="AG2" s="52" t="s">
        <v>139</v>
      </c>
      <c r="AH2" s="52" t="s">
        <v>140</v>
      </c>
      <c r="AJ2" s="52" t="s">
        <v>13</v>
      </c>
      <c r="AK2" s="52" t="s">
        <v>135</v>
      </c>
      <c r="AL2" s="52" t="s">
        <v>136</v>
      </c>
      <c r="AM2" s="52" t="s">
        <v>137</v>
      </c>
      <c r="AN2" s="52" t="s">
        <v>138</v>
      </c>
      <c r="AO2" s="52" t="s">
        <v>139</v>
      </c>
      <c r="AP2" s="52" t="s">
        <v>140</v>
      </c>
      <c r="AS2" s="38" t="str">
        <f t="shared" ref="AS2:AS31" si="2">"P"&amp;AT2&amp;"S"&amp;AU2&amp;"A"&amp;REPT("0",2-LEN(AV2))&amp;AV2</f>
        <v>P10S1A01</v>
      </c>
      <c r="AT2" s="38">
        <v>10</v>
      </c>
      <c r="AU2" s="38">
        <v>1</v>
      </c>
      <c r="AV2" s="38">
        <v>1</v>
      </c>
      <c r="AW2" s="32">
        <v>390</v>
      </c>
      <c r="AZ2" s="53" t="str">
        <f t="shared" ref="AZ2:AZ33" si="3">"P"&amp;REPT("0",2-LEN(BA2))&amp;BA2&amp;"S"&amp;BB2&amp;"A"&amp;REPT("0",2-LEN(BC2))&amp;BC2</f>
        <v>P01S1A00</v>
      </c>
      <c r="BA2" s="53">
        <v>1</v>
      </c>
      <c r="BB2" s="53">
        <v>1</v>
      </c>
      <c r="BC2" s="53">
        <v>0</v>
      </c>
      <c r="BD2" s="32">
        <v>4</v>
      </c>
      <c r="BF2" s="53" t="str">
        <f t="shared" ref="BF2:BF65" si="4">"P"&amp;REPT("0",2-LEN(BG2))&amp;BG2&amp;"S"&amp;BH2&amp;"A"&amp;REPT("0",2-LEN(BI2))&amp;BI2</f>
        <v>P01S1A00</v>
      </c>
      <c r="BG2" s="53">
        <v>1</v>
      </c>
      <c r="BH2" s="53">
        <v>1</v>
      </c>
      <c r="BI2" s="53">
        <v>0</v>
      </c>
      <c r="BJ2" s="173">
        <v>32</v>
      </c>
    </row>
    <row r="3" spans="1:62">
      <c r="A3" s="38" t="str">
        <f t="shared" si="0"/>
        <v>P06S1A16</v>
      </c>
      <c r="B3" s="45" t="s">
        <v>130</v>
      </c>
      <c r="C3" s="38">
        <v>6</v>
      </c>
      <c r="D3" s="38">
        <v>1</v>
      </c>
      <c r="E3" s="38">
        <v>16</v>
      </c>
      <c r="F3" s="38">
        <v>11</v>
      </c>
      <c r="H3" s="54" t="s">
        <v>32</v>
      </c>
      <c r="I3" s="51">
        <v>170</v>
      </c>
      <c r="J3" s="55">
        <v>155</v>
      </c>
      <c r="L3" s="36" t="str">
        <f t="shared" si="1"/>
        <v>P1S1A01</v>
      </c>
      <c r="M3" s="49">
        <v>1</v>
      </c>
      <c r="N3" s="49">
        <v>1</v>
      </c>
      <c r="O3" s="49">
        <v>1</v>
      </c>
      <c r="P3" s="50" t="s">
        <v>33</v>
      </c>
      <c r="Q3" s="51">
        <v>1222</v>
      </c>
      <c r="S3" s="38">
        <v>1</v>
      </c>
      <c r="T3" s="52" t="s">
        <v>142</v>
      </c>
      <c r="U3" s="70">
        <v>8.1</v>
      </c>
      <c r="V3" s="70">
        <v>10.1</v>
      </c>
      <c r="W3" s="70">
        <v>12.2</v>
      </c>
      <c r="X3" s="70">
        <v>18.2</v>
      </c>
      <c r="Y3" s="70">
        <v>28.4</v>
      </c>
      <c r="Z3" s="70">
        <v>36.5</v>
      </c>
      <c r="AB3" s="52" t="s">
        <v>113</v>
      </c>
      <c r="AC3" s="57">
        <v>360</v>
      </c>
      <c r="AD3" s="57">
        <v>450</v>
      </c>
      <c r="AE3" s="57">
        <v>540</v>
      </c>
      <c r="AF3" s="57">
        <v>810</v>
      </c>
      <c r="AG3" s="58">
        <v>1260</v>
      </c>
      <c r="AH3" s="58">
        <v>1620</v>
      </c>
      <c r="AJ3" s="52" t="s">
        <v>119</v>
      </c>
      <c r="AK3" s="58">
        <v>352</v>
      </c>
      <c r="AL3" s="58">
        <v>440</v>
      </c>
      <c r="AM3" s="58">
        <v>528</v>
      </c>
      <c r="AN3" s="58">
        <v>792</v>
      </c>
      <c r="AO3" s="58">
        <v>1232</v>
      </c>
      <c r="AP3" s="58">
        <v>1584</v>
      </c>
      <c r="AS3" s="38" t="str">
        <f t="shared" si="2"/>
        <v>P10S1A02</v>
      </c>
      <c r="AT3" s="38">
        <v>10</v>
      </c>
      <c r="AU3" s="38">
        <v>1</v>
      </c>
      <c r="AV3" s="38">
        <v>2</v>
      </c>
      <c r="AW3" s="32">
        <v>375</v>
      </c>
      <c r="AZ3" s="53" t="str">
        <f t="shared" si="3"/>
        <v>P01S1A01</v>
      </c>
      <c r="BA3" s="53">
        <v>1</v>
      </c>
      <c r="BB3" s="53">
        <v>1</v>
      </c>
      <c r="BC3" s="53">
        <v>1</v>
      </c>
      <c r="BD3" s="32">
        <v>4</v>
      </c>
      <c r="BF3" s="53" t="str">
        <f t="shared" si="4"/>
        <v>P01S1A01</v>
      </c>
      <c r="BG3" s="53">
        <v>1</v>
      </c>
      <c r="BH3" s="53">
        <v>1</v>
      </c>
      <c r="BI3" s="173">
        <v>1</v>
      </c>
      <c r="BJ3" s="173">
        <v>29</v>
      </c>
    </row>
    <row r="4" spans="1:62" ht="26">
      <c r="A4" s="38" t="str">
        <f t="shared" si="0"/>
        <v>P06S1A17</v>
      </c>
      <c r="B4" s="45" t="s">
        <v>130</v>
      </c>
      <c r="C4" s="38">
        <v>6</v>
      </c>
      <c r="D4" s="38">
        <v>1</v>
      </c>
      <c r="E4" s="38">
        <v>17</v>
      </c>
      <c r="F4" s="38">
        <v>11</v>
      </c>
      <c r="H4" s="54" t="s">
        <v>33</v>
      </c>
      <c r="I4" s="51">
        <v>147</v>
      </c>
      <c r="J4" s="55">
        <v>134</v>
      </c>
      <c r="L4" s="36" t="str">
        <f t="shared" si="1"/>
        <v>P1S1A02</v>
      </c>
      <c r="M4" s="49">
        <v>1</v>
      </c>
      <c r="N4" s="49">
        <v>1</v>
      </c>
      <c r="O4" s="49">
        <v>1</v>
      </c>
      <c r="P4" s="50" t="s">
        <v>34</v>
      </c>
      <c r="Q4" s="51">
        <v>1222</v>
      </c>
      <c r="S4" s="38">
        <v>2</v>
      </c>
      <c r="T4" s="52" t="s">
        <v>143</v>
      </c>
      <c r="U4" s="70">
        <v>8.1</v>
      </c>
      <c r="V4" s="70">
        <v>10.1</v>
      </c>
      <c r="W4" s="70">
        <v>12.2</v>
      </c>
      <c r="X4" s="70">
        <v>18.2</v>
      </c>
      <c r="Y4" s="70">
        <v>28.4</v>
      </c>
      <c r="Z4" s="70">
        <v>36.5</v>
      </c>
      <c r="AB4" s="52" t="s">
        <v>114</v>
      </c>
      <c r="AC4" s="57">
        <v>720</v>
      </c>
      <c r="AD4" s="57">
        <v>900</v>
      </c>
      <c r="AE4" s="58">
        <v>1080</v>
      </c>
      <c r="AF4" s="58">
        <v>1620</v>
      </c>
      <c r="AG4" s="58">
        <v>2520</v>
      </c>
      <c r="AH4" s="58">
        <v>3240</v>
      </c>
      <c r="AJ4" s="56" t="s">
        <v>144</v>
      </c>
      <c r="AK4" s="58">
        <v>62</v>
      </c>
      <c r="AL4" s="58">
        <v>78</v>
      </c>
      <c r="AM4" s="58">
        <v>93</v>
      </c>
      <c r="AN4" s="58">
        <v>140</v>
      </c>
      <c r="AO4" s="58">
        <v>217</v>
      </c>
      <c r="AP4" s="58">
        <v>279</v>
      </c>
      <c r="AS4" s="38" t="str">
        <f t="shared" si="2"/>
        <v>P10S1A03</v>
      </c>
      <c r="AT4" s="38">
        <v>10</v>
      </c>
      <c r="AU4" s="38">
        <v>1</v>
      </c>
      <c r="AV4" s="38">
        <v>3</v>
      </c>
      <c r="AW4" s="32">
        <v>360</v>
      </c>
      <c r="AZ4" s="53" t="str">
        <f t="shared" si="3"/>
        <v>P01S1A02</v>
      </c>
      <c r="BA4" s="53">
        <v>1</v>
      </c>
      <c r="BB4" s="53">
        <v>1</v>
      </c>
      <c r="BC4" s="53">
        <v>2</v>
      </c>
      <c r="BD4" s="32">
        <v>4</v>
      </c>
      <c r="BF4" s="53" t="str">
        <f t="shared" si="4"/>
        <v>P01S1A02</v>
      </c>
      <c r="BG4" s="53">
        <v>1</v>
      </c>
      <c r="BH4" s="53">
        <v>1</v>
      </c>
      <c r="BI4" s="173">
        <v>2</v>
      </c>
      <c r="BJ4" s="173">
        <v>25</v>
      </c>
    </row>
    <row r="5" spans="1:62">
      <c r="A5" s="38" t="str">
        <f t="shared" si="0"/>
        <v>P06S1A18</v>
      </c>
      <c r="B5" s="45" t="s">
        <v>130</v>
      </c>
      <c r="C5" s="38">
        <v>6</v>
      </c>
      <c r="D5" s="38">
        <v>1</v>
      </c>
      <c r="E5" s="38">
        <v>18</v>
      </c>
      <c r="F5" s="38">
        <v>11</v>
      </c>
      <c r="H5" s="54" t="s">
        <v>34</v>
      </c>
      <c r="I5" s="51">
        <v>130</v>
      </c>
      <c r="J5" s="55">
        <v>117</v>
      </c>
      <c r="L5" s="36" t="str">
        <f t="shared" si="1"/>
        <v>P1S1A03</v>
      </c>
      <c r="M5" s="49">
        <v>1</v>
      </c>
      <c r="N5" s="49">
        <v>1</v>
      </c>
      <c r="O5" s="49">
        <v>1</v>
      </c>
      <c r="P5" s="50" t="s">
        <v>35</v>
      </c>
      <c r="Q5" s="51">
        <v>1222</v>
      </c>
      <c r="S5" s="38">
        <v>3</v>
      </c>
      <c r="T5" s="52" t="s">
        <v>145</v>
      </c>
      <c r="U5" s="70">
        <v>8.1</v>
      </c>
      <c r="V5" s="70">
        <v>10.1</v>
      </c>
      <c r="W5" s="70">
        <v>12.2</v>
      </c>
      <c r="X5" s="70">
        <v>18.2</v>
      </c>
      <c r="Y5" s="70">
        <v>28.4</v>
      </c>
      <c r="Z5" s="70">
        <v>36.5</v>
      </c>
      <c r="AB5" s="52" t="s">
        <v>115</v>
      </c>
      <c r="AC5" s="58">
        <v>1080</v>
      </c>
      <c r="AD5" s="58">
        <v>1350</v>
      </c>
      <c r="AE5" s="58">
        <v>1620</v>
      </c>
      <c r="AF5" s="58">
        <v>2430</v>
      </c>
      <c r="AG5" s="58">
        <v>3780</v>
      </c>
      <c r="AH5" s="58">
        <v>4860</v>
      </c>
      <c r="AJ5" s="36" t="s">
        <v>146</v>
      </c>
      <c r="AK5" s="36"/>
      <c r="AL5" s="36"/>
      <c r="AM5" s="36"/>
      <c r="AN5" s="36"/>
      <c r="AO5" s="36"/>
      <c r="AP5" s="36"/>
      <c r="AS5" s="38" t="str">
        <f t="shared" si="2"/>
        <v>P10S1A04</v>
      </c>
      <c r="AT5" s="38">
        <v>10</v>
      </c>
      <c r="AU5" s="38">
        <v>1</v>
      </c>
      <c r="AV5" s="38">
        <v>4</v>
      </c>
      <c r="AW5" s="32">
        <v>346</v>
      </c>
      <c r="AZ5" s="53" t="str">
        <f t="shared" si="3"/>
        <v>P01S1A03</v>
      </c>
      <c r="BA5" s="53">
        <v>1</v>
      </c>
      <c r="BB5" s="53">
        <v>1</v>
      </c>
      <c r="BC5" s="53">
        <v>3</v>
      </c>
      <c r="BD5" s="32">
        <v>4</v>
      </c>
      <c r="BF5" s="53" t="str">
        <f t="shared" si="4"/>
        <v>P01S1A03</v>
      </c>
      <c r="BG5" s="53">
        <v>1</v>
      </c>
      <c r="BH5" s="53">
        <v>1</v>
      </c>
      <c r="BI5" s="173">
        <v>3</v>
      </c>
      <c r="BJ5" s="173">
        <v>22</v>
      </c>
    </row>
    <row r="6" spans="1:62">
      <c r="A6" s="38" t="str">
        <f t="shared" si="0"/>
        <v>P06S1A19</v>
      </c>
      <c r="B6" s="45" t="s">
        <v>130</v>
      </c>
      <c r="C6" s="38">
        <v>6</v>
      </c>
      <c r="D6" s="38">
        <v>1</v>
      </c>
      <c r="E6" s="38">
        <v>19</v>
      </c>
      <c r="F6" s="38">
        <v>11</v>
      </c>
      <c r="H6" s="54" t="s">
        <v>35</v>
      </c>
      <c r="I6" s="51">
        <v>112</v>
      </c>
      <c r="J6" s="55">
        <v>101</v>
      </c>
      <c r="L6" s="36" t="str">
        <f t="shared" si="1"/>
        <v>P1S1A04</v>
      </c>
      <c r="M6" s="49">
        <v>1</v>
      </c>
      <c r="N6" s="49">
        <v>1</v>
      </c>
      <c r="O6" s="49">
        <v>1</v>
      </c>
      <c r="P6" s="50" t="s">
        <v>36</v>
      </c>
      <c r="Q6" s="51">
        <v>1222</v>
      </c>
      <c r="AB6" s="52" t="s">
        <v>116</v>
      </c>
      <c r="AC6" s="58">
        <v>1440</v>
      </c>
      <c r="AD6" s="58">
        <v>1800</v>
      </c>
      <c r="AE6" s="58">
        <v>2160</v>
      </c>
      <c r="AF6" s="58">
        <v>3240</v>
      </c>
      <c r="AG6" s="58">
        <v>5040</v>
      </c>
      <c r="AH6" s="58">
        <v>6480</v>
      </c>
      <c r="AS6" s="38" t="str">
        <f t="shared" si="2"/>
        <v>P10S1A05</v>
      </c>
      <c r="AT6" s="38">
        <v>10</v>
      </c>
      <c r="AU6" s="38">
        <v>1</v>
      </c>
      <c r="AV6" s="38">
        <v>5</v>
      </c>
      <c r="AW6" s="32">
        <v>332</v>
      </c>
      <c r="AZ6" s="53" t="str">
        <f t="shared" si="3"/>
        <v>P01S1A04</v>
      </c>
      <c r="BA6" s="53">
        <v>1</v>
      </c>
      <c r="BB6" s="53">
        <v>1</v>
      </c>
      <c r="BC6" s="53">
        <v>4</v>
      </c>
      <c r="BD6" s="32">
        <v>4</v>
      </c>
      <c r="BF6" s="53" t="str">
        <f t="shared" si="4"/>
        <v>P01S1A04</v>
      </c>
      <c r="BG6" s="53">
        <v>1</v>
      </c>
      <c r="BH6" s="53">
        <v>1</v>
      </c>
      <c r="BI6" s="173">
        <v>4</v>
      </c>
      <c r="BJ6" s="173">
        <v>19</v>
      </c>
    </row>
    <row r="7" spans="1:62">
      <c r="A7" s="38" t="str">
        <f t="shared" si="0"/>
        <v>P06S1A20</v>
      </c>
      <c r="B7" s="45" t="s">
        <v>130</v>
      </c>
      <c r="C7" s="38">
        <v>6</v>
      </c>
      <c r="D7" s="38">
        <v>1</v>
      </c>
      <c r="E7" s="38">
        <v>20</v>
      </c>
      <c r="F7" s="38">
        <v>11</v>
      </c>
      <c r="H7" s="54" t="s">
        <v>36</v>
      </c>
      <c r="I7" s="51">
        <v>98</v>
      </c>
      <c r="J7" s="55">
        <v>88</v>
      </c>
      <c r="L7" s="36" t="str">
        <f t="shared" si="1"/>
        <v>P1S1A05</v>
      </c>
      <c r="M7" s="49">
        <v>1</v>
      </c>
      <c r="N7" s="49">
        <v>1</v>
      </c>
      <c r="O7" s="49">
        <v>1</v>
      </c>
      <c r="P7" s="50" t="s">
        <v>37</v>
      </c>
      <c r="Q7" s="51">
        <v>1222</v>
      </c>
      <c r="AB7" s="52" t="s">
        <v>117</v>
      </c>
      <c r="AC7" s="58">
        <v>1800</v>
      </c>
      <c r="AD7" s="58">
        <v>2250</v>
      </c>
      <c r="AE7" s="58">
        <v>2700</v>
      </c>
      <c r="AF7" s="58">
        <v>4050</v>
      </c>
      <c r="AG7" s="58">
        <v>6300</v>
      </c>
      <c r="AH7" s="58">
        <v>8100</v>
      </c>
      <c r="AS7" s="38" t="str">
        <f t="shared" si="2"/>
        <v>P10S1A06</v>
      </c>
      <c r="AT7" s="38">
        <v>10</v>
      </c>
      <c r="AU7" s="38">
        <v>1</v>
      </c>
      <c r="AV7" s="38">
        <v>6</v>
      </c>
      <c r="AW7" s="32">
        <v>319</v>
      </c>
      <c r="AZ7" s="53" t="str">
        <f t="shared" si="3"/>
        <v>P01S1A05</v>
      </c>
      <c r="BA7" s="53">
        <v>1</v>
      </c>
      <c r="BB7" s="53">
        <v>1</v>
      </c>
      <c r="BC7" s="53">
        <v>5</v>
      </c>
      <c r="BD7" s="32">
        <v>5</v>
      </c>
      <c r="BF7" s="53" t="str">
        <f t="shared" si="4"/>
        <v>P01S1A05</v>
      </c>
      <c r="BG7" s="53">
        <v>1</v>
      </c>
      <c r="BH7" s="53">
        <v>1</v>
      </c>
      <c r="BI7" s="173">
        <v>5</v>
      </c>
      <c r="BJ7" s="173">
        <v>17</v>
      </c>
    </row>
    <row r="8" spans="1:62">
      <c r="A8" s="38" t="str">
        <f t="shared" si="0"/>
        <v>P06S1A21</v>
      </c>
      <c r="B8" s="45" t="s">
        <v>130</v>
      </c>
      <c r="C8" s="38">
        <v>6</v>
      </c>
      <c r="D8" s="38">
        <v>1</v>
      </c>
      <c r="E8" s="38">
        <v>21</v>
      </c>
      <c r="F8" s="38">
        <v>11</v>
      </c>
      <c r="H8" s="54" t="s">
        <v>37</v>
      </c>
      <c r="I8" s="51">
        <v>86</v>
      </c>
      <c r="J8" s="55">
        <v>75</v>
      </c>
      <c r="L8" s="36" t="str">
        <f t="shared" si="1"/>
        <v>P1S1A06</v>
      </c>
      <c r="M8" s="49">
        <v>1</v>
      </c>
      <c r="N8" s="49">
        <v>1</v>
      </c>
      <c r="O8" s="49">
        <v>1</v>
      </c>
      <c r="P8" s="50" t="s">
        <v>38</v>
      </c>
      <c r="Q8" s="51">
        <v>1222</v>
      </c>
      <c r="AB8" s="52" t="s">
        <v>118</v>
      </c>
      <c r="AC8" s="58">
        <v>2160</v>
      </c>
      <c r="AD8" s="58">
        <v>2700</v>
      </c>
      <c r="AE8" s="58">
        <v>3240</v>
      </c>
      <c r="AF8" s="58">
        <v>4860</v>
      </c>
      <c r="AG8" s="58">
        <v>7560</v>
      </c>
      <c r="AH8" s="58">
        <v>9720</v>
      </c>
      <c r="AS8" s="38" t="str">
        <f t="shared" si="2"/>
        <v>P10S1A07</v>
      </c>
      <c r="AT8" s="38">
        <v>10</v>
      </c>
      <c r="AU8" s="38">
        <v>1</v>
      </c>
      <c r="AV8" s="38">
        <v>7</v>
      </c>
      <c r="AW8" s="32">
        <v>307</v>
      </c>
      <c r="AZ8" s="53" t="str">
        <f t="shared" si="3"/>
        <v>P01S1A06</v>
      </c>
      <c r="BA8" s="53">
        <v>1</v>
      </c>
      <c r="BB8" s="53">
        <v>1</v>
      </c>
      <c r="BC8" s="53">
        <v>6</v>
      </c>
      <c r="BD8" s="32">
        <v>5</v>
      </c>
      <c r="BF8" s="53" t="str">
        <f t="shared" si="4"/>
        <v>P01S1A06</v>
      </c>
      <c r="BG8" s="53">
        <v>1</v>
      </c>
      <c r="BH8" s="53">
        <v>1</v>
      </c>
      <c r="BI8" s="173">
        <v>6</v>
      </c>
      <c r="BJ8" s="173">
        <v>15</v>
      </c>
    </row>
    <row r="9" spans="1:62">
      <c r="A9" s="38" t="str">
        <f t="shared" si="0"/>
        <v>P06S1A22</v>
      </c>
      <c r="B9" s="45" t="s">
        <v>130</v>
      </c>
      <c r="C9" s="38">
        <v>6</v>
      </c>
      <c r="D9" s="38">
        <v>1</v>
      </c>
      <c r="E9" s="38">
        <v>22</v>
      </c>
      <c r="F9" s="38">
        <v>12</v>
      </c>
      <c r="H9" s="54" t="s">
        <v>38</v>
      </c>
      <c r="I9" s="51">
        <v>75</v>
      </c>
      <c r="J9" s="55">
        <v>66</v>
      </c>
      <c r="L9" s="36" t="str">
        <f t="shared" si="1"/>
        <v>P1S1A07</v>
      </c>
      <c r="M9" s="49">
        <v>1</v>
      </c>
      <c r="N9" s="49">
        <v>1</v>
      </c>
      <c r="O9" s="49">
        <v>1</v>
      </c>
      <c r="P9" s="50" t="s">
        <v>39</v>
      </c>
      <c r="Q9" s="51">
        <v>1222</v>
      </c>
      <c r="AS9" s="38" t="str">
        <f t="shared" si="2"/>
        <v>P10S1A08</v>
      </c>
      <c r="AT9" s="38">
        <v>10</v>
      </c>
      <c r="AU9" s="38">
        <v>1</v>
      </c>
      <c r="AV9" s="38">
        <v>8</v>
      </c>
      <c r="AW9" s="32">
        <v>294</v>
      </c>
      <c r="AZ9" s="53" t="str">
        <f t="shared" si="3"/>
        <v>P01S1A07</v>
      </c>
      <c r="BA9" s="53">
        <v>1</v>
      </c>
      <c r="BB9" s="53">
        <v>1</v>
      </c>
      <c r="BC9" s="53">
        <v>7</v>
      </c>
      <c r="BD9" s="32">
        <v>5</v>
      </c>
      <c r="BF9" s="53" t="str">
        <f t="shared" si="4"/>
        <v>P01S1A07</v>
      </c>
      <c r="BG9" s="53">
        <v>1</v>
      </c>
      <c r="BH9" s="53">
        <v>1</v>
      </c>
      <c r="BI9" s="173">
        <v>7</v>
      </c>
      <c r="BJ9" s="173">
        <v>14</v>
      </c>
    </row>
    <row r="10" spans="1:62">
      <c r="A10" s="38" t="str">
        <f t="shared" si="0"/>
        <v>P06S1A23</v>
      </c>
      <c r="B10" s="45" t="s">
        <v>130</v>
      </c>
      <c r="C10" s="38">
        <v>6</v>
      </c>
      <c r="D10" s="38">
        <v>1</v>
      </c>
      <c r="E10" s="38">
        <v>23</v>
      </c>
      <c r="F10" s="38">
        <v>12</v>
      </c>
      <c r="H10" s="54" t="s">
        <v>39</v>
      </c>
      <c r="I10" s="51">
        <v>66</v>
      </c>
      <c r="J10" s="55">
        <v>58</v>
      </c>
      <c r="L10" s="36" t="str">
        <f t="shared" si="1"/>
        <v>P1S1A08</v>
      </c>
      <c r="M10" s="49">
        <v>1</v>
      </c>
      <c r="N10" s="49">
        <v>1</v>
      </c>
      <c r="O10" s="49">
        <v>1</v>
      </c>
      <c r="P10" s="50" t="s">
        <v>40</v>
      </c>
      <c r="Q10" s="51">
        <v>1222</v>
      </c>
      <c r="AS10" s="38" t="str">
        <f t="shared" si="2"/>
        <v>P10S1A09</v>
      </c>
      <c r="AT10" s="38">
        <v>10</v>
      </c>
      <c r="AU10" s="38">
        <v>1</v>
      </c>
      <c r="AV10" s="38">
        <v>9</v>
      </c>
      <c r="AW10" s="32">
        <v>282</v>
      </c>
      <c r="AZ10" s="53" t="str">
        <f t="shared" si="3"/>
        <v>P01S1A08</v>
      </c>
      <c r="BA10" s="53">
        <v>1</v>
      </c>
      <c r="BB10" s="53">
        <v>1</v>
      </c>
      <c r="BC10" s="53">
        <v>8</v>
      </c>
      <c r="BD10" s="32">
        <v>5</v>
      </c>
      <c r="BF10" s="53" t="str">
        <f t="shared" si="4"/>
        <v>P01S1A08</v>
      </c>
      <c r="BG10" s="53">
        <v>1</v>
      </c>
      <c r="BH10" s="53">
        <v>1</v>
      </c>
      <c r="BI10" s="173">
        <v>8</v>
      </c>
      <c r="BJ10" s="173">
        <v>14</v>
      </c>
    </row>
    <row r="11" spans="1:62">
      <c r="A11" s="38" t="str">
        <f t="shared" si="0"/>
        <v>P06S1A24</v>
      </c>
      <c r="B11" s="45" t="s">
        <v>130</v>
      </c>
      <c r="C11" s="38">
        <v>6</v>
      </c>
      <c r="D11" s="38">
        <v>1</v>
      </c>
      <c r="E11" s="38">
        <v>24</v>
      </c>
      <c r="F11" s="38">
        <v>12</v>
      </c>
      <c r="H11" s="54" t="s">
        <v>40</v>
      </c>
      <c r="I11" s="51">
        <v>67</v>
      </c>
      <c r="J11" s="55">
        <v>59</v>
      </c>
      <c r="L11" s="36" t="str">
        <f t="shared" si="1"/>
        <v>P1S1A09</v>
      </c>
      <c r="M11" s="49">
        <v>1</v>
      </c>
      <c r="N11" s="49">
        <v>1</v>
      </c>
      <c r="O11" s="49">
        <v>1</v>
      </c>
      <c r="P11" s="50" t="s">
        <v>41</v>
      </c>
      <c r="Q11" s="51">
        <v>1222</v>
      </c>
      <c r="AS11" s="38" t="str">
        <f t="shared" si="2"/>
        <v>P10S1A10</v>
      </c>
      <c r="AT11" s="38">
        <v>10</v>
      </c>
      <c r="AU11" s="38">
        <v>1</v>
      </c>
      <c r="AV11" s="38">
        <v>10</v>
      </c>
      <c r="AW11" s="32">
        <v>269</v>
      </c>
      <c r="AZ11" s="53" t="str">
        <f t="shared" si="3"/>
        <v>P01S1A09</v>
      </c>
      <c r="BA11" s="53">
        <v>1</v>
      </c>
      <c r="BB11" s="53">
        <v>1</v>
      </c>
      <c r="BC11" s="53">
        <v>9</v>
      </c>
      <c r="BD11" s="32">
        <v>5</v>
      </c>
      <c r="BF11" s="53" t="str">
        <f t="shared" si="4"/>
        <v>P01S1A09</v>
      </c>
      <c r="BG11" s="53">
        <v>1</v>
      </c>
      <c r="BH11" s="53">
        <v>1</v>
      </c>
      <c r="BI11" s="173">
        <v>9</v>
      </c>
      <c r="BJ11" s="173">
        <v>14</v>
      </c>
    </row>
    <row r="12" spans="1:62">
      <c r="A12" s="38" t="str">
        <f t="shared" si="0"/>
        <v>P06S1A25</v>
      </c>
      <c r="B12" s="45" t="s">
        <v>130</v>
      </c>
      <c r="C12" s="38">
        <v>6</v>
      </c>
      <c r="D12" s="38">
        <v>1</v>
      </c>
      <c r="E12" s="38">
        <v>25</v>
      </c>
      <c r="F12" s="38">
        <v>12</v>
      </c>
      <c r="H12" s="54" t="s">
        <v>41</v>
      </c>
      <c r="I12" s="51">
        <v>69</v>
      </c>
      <c r="J12" s="55">
        <v>62</v>
      </c>
      <c r="L12" s="36" t="str">
        <f t="shared" si="1"/>
        <v>P1S1A10</v>
      </c>
      <c r="M12" s="49">
        <v>1</v>
      </c>
      <c r="N12" s="49">
        <v>1</v>
      </c>
      <c r="O12" s="49">
        <v>1</v>
      </c>
      <c r="P12" s="50" t="s">
        <v>42</v>
      </c>
      <c r="Q12" s="51">
        <v>1222</v>
      </c>
      <c r="AS12" s="38" t="str">
        <f t="shared" si="2"/>
        <v>P10S1A11</v>
      </c>
      <c r="AT12" s="38">
        <v>10</v>
      </c>
      <c r="AU12" s="38">
        <v>1</v>
      </c>
      <c r="AV12" s="38">
        <v>11</v>
      </c>
      <c r="AW12" s="32">
        <v>257</v>
      </c>
      <c r="AZ12" s="53" t="str">
        <f t="shared" si="3"/>
        <v>P01S1A10</v>
      </c>
      <c r="BA12" s="53">
        <v>1</v>
      </c>
      <c r="BB12" s="53">
        <v>1</v>
      </c>
      <c r="BC12" s="53">
        <v>10</v>
      </c>
      <c r="BD12" s="32">
        <v>5</v>
      </c>
      <c r="BF12" s="53" t="str">
        <f t="shared" si="4"/>
        <v>P01S1A10</v>
      </c>
      <c r="BG12" s="53">
        <v>1</v>
      </c>
      <c r="BH12" s="53">
        <v>1</v>
      </c>
      <c r="BI12" s="173">
        <v>10</v>
      </c>
      <c r="BJ12" s="173">
        <v>15</v>
      </c>
    </row>
    <row r="13" spans="1:62">
      <c r="A13" s="38" t="str">
        <f t="shared" si="0"/>
        <v>P06S1A26</v>
      </c>
      <c r="B13" s="45" t="s">
        <v>130</v>
      </c>
      <c r="C13" s="38">
        <v>6</v>
      </c>
      <c r="D13" s="38">
        <v>1</v>
      </c>
      <c r="E13" s="38">
        <v>26</v>
      </c>
      <c r="F13" s="38">
        <v>12</v>
      </c>
      <c r="H13" s="54" t="s">
        <v>42</v>
      </c>
      <c r="I13" s="51">
        <v>72</v>
      </c>
      <c r="J13" s="55">
        <v>64</v>
      </c>
      <c r="L13" s="36" t="str">
        <f t="shared" si="1"/>
        <v>P1S1A11</v>
      </c>
      <c r="M13" s="49">
        <v>1</v>
      </c>
      <c r="N13" s="49">
        <v>1</v>
      </c>
      <c r="O13" s="49">
        <v>1</v>
      </c>
      <c r="P13" s="50" t="s">
        <v>43</v>
      </c>
      <c r="Q13" s="51">
        <v>1222</v>
      </c>
      <c r="AS13" s="38" t="str">
        <f t="shared" si="2"/>
        <v>P10S1A12</v>
      </c>
      <c r="AT13" s="38">
        <v>10</v>
      </c>
      <c r="AU13" s="38">
        <v>1</v>
      </c>
      <c r="AV13" s="38">
        <v>12</v>
      </c>
      <c r="AW13" s="32">
        <v>244</v>
      </c>
      <c r="AZ13" s="53" t="str">
        <f t="shared" si="3"/>
        <v>P01S1A11</v>
      </c>
      <c r="BA13" s="53">
        <v>1</v>
      </c>
      <c r="BB13" s="53">
        <v>1</v>
      </c>
      <c r="BC13" s="53">
        <v>11</v>
      </c>
      <c r="BD13" s="32">
        <v>5</v>
      </c>
      <c r="BF13" s="53" t="str">
        <f t="shared" si="4"/>
        <v>P01S1A11</v>
      </c>
      <c r="BG13" s="53">
        <v>1</v>
      </c>
      <c r="BH13" s="53">
        <v>1</v>
      </c>
      <c r="BI13" s="173">
        <v>11</v>
      </c>
      <c r="BJ13" s="173">
        <v>16</v>
      </c>
    </row>
    <row r="14" spans="1:62">
      <c r="A14" s="38" t="str">
        <f t="shared" si="0"/>
        <v>P06S1A27</v>
      </c>
      <c r="B14" s="45" t="s">
        <v>130</v>
      </c>
      <c r="C14" s="38">
        <v>6</v>
      </c>
      <c r="D14" s="38">
        <v>1</v>
      </c>
      <c r="E14" s="38">
        <v>27</v>
      </c>
      <c r="F14" s="38">
        <v>12</v>
      </c>
      <c r="H14" s="54" t="s">
        <v>43</v>
      </c>
      <c r="I14" s="51">
        <v>74</v>
      </c>
      <c r="J14" s="55">
        <v>67</v>
      </c>
      <c r="L14" s="36" t="str">
        <f t="shared" si="1"/>
        <v>P1S1A12</v>
      </c>
      <c r="M14" s="49">
        <v>1</v>
      </c>
      <c r="N14" s="49">
        <v>1</v>
      </c>
      <c r="O14" s="49">
        <v>1</v>
      </c>
      <c r="P14" s="50" t="s">
        <v>44</v>
      </c>
      <c r="Q14" s="51">
        <v>1222</v>
      </c>
      <c r="AS14" s="38" t="str">
        <f t="shared" si="2"/>
        <v>P10S1A13</v>
      </c>
      <c r="AT14" s="38">
        <v>10</v>
      </c>
      <c r="AU14" s="38">
        <v>1</v>
      </c>
      <c r="AV14" s="38">
        <v>13</v>
      </c>
      <c r="AW14" s="32">
        <v>232</v>
      </c>
      <c r="AZ14" s="53" t="str">
        <f t="shared" si="3"/>
        <v>P01S1A12</v>
      </c>
      <c r="BA14" s="53">
        <v>1</v>
      </c>
      <c r="BB14" s="53">
        <v>1</v>
      </c>
      <c r="BC14" s="53">
        <v>12</v>
      </c>
      <c r="BD14" s="32">
        <v>6</v>
      </c>
      <c r="BF14" s="53" t="str">
        <f t="shared" si="4"/>
        <v>P01S1A12</v>
      </c>
      <c r="BG14" s="53">
        <v>1</v>
      </c>
      <c r="BH14" s="53">
        <v>1</v>
      </c>
      <c r="BI14" s="173">
        <v>12</v>
      </c>
      <c r="BJ14" s="173">
        <v>17</v>
      </c>
    </row>
    <row r="15" spans="1:62">
      <c r="A15" s="38" t="str">
        <f t="shared" si="0"/>
        <v>P06S1A28</v>
      </c>
      <c r="B15" s="45" t="s">
        <v>130</v>
      </c>
      <c r="C15" s="38">
        <v>6</v>
      </c>
      <c r="D15" s="38">
        <v>1</v>
      </c>
      <c r="E15" s="38">
        <v>28</v>
      </c>
      <c r="F15" s="38">
        <v>12</v>
      </c>
      <c r="H15" s="54" t="s">
        <v>44</v>
      </c>
      <c r="I15" s="51">
        <v>77</v>
      </c>
      <c r="J15" s="55">
        <v>70</v>
      </c>
      <c r="L15" s="36" t="str">
        <f t="shared" si="1"/>
        <v>P1S1A13</v>
      </c>
      <c r="M15" s="49">
        <v>1</v>
      </c>
      <c r="N15" s="49">
        <v>1</v>
      </c>
      <c r="O15" s="49">
        <v>1</v>
      </c>
      <c r="P15" s="50" t="s">
        <v>45</v>
      </c>
      <c r="Q15" s="51">
        <v>1222</v>
      </c>
      <c r="AS15" s="38" t="str">
        <f t="shared" si="2"/>
        <v>P10S1A14</v>
      </c>
      <c r="AT15" s="38">
        <v>10</v>
      </c>
      <c r="AU15" s="38">
        <v>1</v>
      </c>
      <c r="AV15" s="38">
        <v>14</v>
      </c>
      <c r="AW15" s="32">
        <v>219</v>
      </c>
      <c r="AZ15" s="53" t="str">
        <f t="shared" si="3"/>
        <v>P01S1A13</v>
      </c>
      <c r="BA15" s="53">
        <v>1</v>
      </c>
      <c r="BB15" s="53">
        <v>1</v>
      </c>
      <c r="BC15" s="53">
        <v>13</v>
      </c>
      <c r="BD15" s="32">
        <v>6</v>
      </c>
      <c r="BF15" s="53" t="str">
        <f t="shared" si="4"/>
        <v>P01S1A13</v>
      </c>
      <c r="BG15" s="53">
        <v>1</v>
      </c>
      <c r="BH15" s="53">
        <v>1</v>
      </c>
      <c r="BI15" s="173">
        <v>13</v>
      </c>
      <c r="BJ15" s="173">
        <v>18</v>
      </c>
    </row>
    <row r="16" spans="1:62">
      <c r="A16" s="38" t="str">
        <f t="shared" si="0"/>
        <v>P06S1A29</v>
      </c>
      <c r="B16" s="45" t="s">
        <v>130</v>
      </c>
      <c r="C16" s="38">
        <v>6</v>
      </c>
      <c r="D16" s="38">
        <v>1</v>
      </c>
      <c r="E16" s="38">
        <v>29</v>
      </c>
      <c r="F16" s="38">
        <v>12</v>
      </c>
      <c r="H16" s="54" t="s">
        <v>45</v>
      </c>
      <c r="I16" s="51">
        <v>83</v>
      </c>
      <c r="J16" s="55">
        <v>75</v>
      </c>
      <c r="L16" s="36" t="str">
        <f t="shared" si="1"/>
        <v>P1S1A14</v>
      </c>
      <c r="M16" s="49">
        <v>1</v>
      </c>
      <c r="N16" s="49">
        <v>1</v>
      </c>
      <c r="O16" s="49">
        <v>1</v>
      </c>
      <c r="P16" s="50" t="s">
        <v>46</v>
      </c>
      <c r="Q16" s="51">
        <v>1222</v>
      </c>
      <c r="AS16" s="38" t="str">
        <f t="shared" si="2"/>
        <v>P10S1A15</v>
      </c>
      <c r="AT16" s="38">
        <v>10</v>
      </c>
      <c r="AU16" s="38">
        <v>1</v>
      </c>
      <c r="AV16" s="38">
        <v>15</v>
      </c>
      <c r="AW16" s="32">
        <v>205</v>
      </c>
      <c r="AZ16" s="53" t="str">
        <f t="shared" si="3"/>
        <v>P01S1A14</v>
      </c>
      <c r="BA16" s="53">
        <v>1</v>
      </c>
      <c r="BB16" s="53">
        <v>1</v>
      </c>
      <c r="BC16" s="53">
        <v>14</v>
      </c>
      <c r="BD16" s="32">
        <v>6</v>
      </c>
      <c r="BF16" s="53" t="str">
        <f t="shared" si="4"/>
        <v>P01S1A14</v>
      </c>
      <c r="BG16" s="53">
        <v>1</v>
      </c>
      <c r="BH16" s="53">
        <v>1</v>
      </c>
      <c r="BI16" s="173">
        <v>14</v>
      </c>
      <c r="BJ16" s="173">
        <v>20</v>
      </c>
    </row>
    <row r="17" spans="1:62">
      <c r="A17" s="38" t="str">
        <f t="shared" si="0"/>
        <v>P06S1A30</v>
      </c>
      <c r="B17" s="45" t="s">
        <v>130</v>
      </c>
      <c r="C17" s="38">
        <v>6</v>
      </c>
      <c r="D17" s="38">
        <v>1</v>
      </c>
      <c r="E17" s="38">
        <v>30</v>
      </c>
      <c r="F17" s="38">
        <v>12</v>
      </c>
      <c r="H17" s="54" t="s">
        <v>46</v>
      </c>
      <c r="I17" s="51">
        <v>90</v>
      </c>
      <c r="J17" s="55">
        <v>78</v>
      </c>
      <c r="L17" s="36" t="str">
        <f t="shared" si="1"/>
        <v>P1S1A15</v>
      </c>
      <c r="M17" s="49">
        <v>1</v>
      </c>
      <c r="N17" s="49">
        <v>1</v>
      </c>
      <c r="O17" s="49">
        <v>1</v>
      </c>
      <c r="P17" s="50" t="s">
        <v>47</v>
      </c>
      <c r="Q17" s="51">
        <v>657</v>
      </c>
      <c r="AS17" s="38" t="str">
        <f t="shared" si="2"/>
        <v>P10S2A01</v>
      </c>
      <c r="AT17" s="38">
        <v>10</v>
      </c>
      <c r="AU17" s="38">
        <v>2</v>
      </c>
      <c r="AV17" s="38">
        <v>1</v>
      </c>
      <c r="AW17" s="32">
        <v>351</v>
      </c>
      <c r="AZ17" s="53" t="str">
        <f t="shared" si="3"/>
        <v>P01S1A15</v>
      </c>
      <c r="BA17" s="53">
        <v>1</v>
      </c>
      <c r="BB17" s="53">
        <v>1</v>
      </c>
      <c r="BC17" s="53">
        <v>15</v>
      </c>
      <c r="BD17" s="32">
        <v>7</v>
      </c>
      <c r="BF17" s="53" t="str">
        <f t="shared" si="4"/>
        <v>P01S1A15</v>
      </c>
      <c r="BG17" s="53">
        <v>1</v>
      </c>
      <c r="BH17" s="53">
        <v>1</v>
      </c>
      <c r="BI17" s="173">
        <v>15</v>
      </c>
      <c r="BJ17" s="173">
        <v>22</v>
      </c>
    </row>
    <row r="18" spans="1:62">
      <c r="A18" s="38" t="str">
        <f t="shared" si="0"/>
        <v>P06S1A31</v>
      </c>
      <c r="B18" s="45" t="s">
        <v>130</v>
      </c>
      <c r="C18" s="38">
        <v>6</v>
      </c>
      <c r="D18" s="38">
        <v>1</v>
      </c>
      <c r="E18" s="38">
        <v>31</v>
      </c>
      <c r="F18" s="38">
        <v>13</v>
      </c>
      <c r="H18" s="54" t="s">
        <v>47</v>
      </c>
      <c r="I18" s="51">
        <v>96</v>
      </c>
      <c r="J18" s="55">
        <v>83</v>
      </c>
      <c r="L18" s="36" t="str">
        <f t="shared" si="1"/>
        <v>P1S1A16</v>
      </c>
      <c r="M18" s="49">
        <v>1</v>
      </c>
      <c r="N18" s="49">
        <v>1</v>
      </c>
      <c r="O18" s="49">
        <v>1</v>
      </c>
      <c r="P18" s="50" t="s">
        <v>48</v>
      </c>
      <c r="Q18" s="51">
        <v>657</v>
      </c>
      <c r="AS18" s="38" t="str">
        <f t="shared" si="2"/>
        <v>P10S2A02</v>
      </c>
      <c r="AT18" s="38">
        <v>10</v>
      </c>
      <c r="AU18" s="38">
        <v>2</v>
      </c>
      <c r="AV18" s="38">
        <v>2</v>
      </c>
      <c r="AW18" s="32">
        <v>337</v>
      </c>
      <c r="AZ18" s="53" t="str">
        <f t="shared" si="3"/>
        <v>P01S1A16</v>
      </c>
      <c r="BA18" s="53">
        <v>1</v>
      </c>
      <c r="BB18" s="53">
        <v>1</v>
      </c>
      <c r="BC18" s="53">
        <v>16</v>
      </c>
      <c r="BD18" s="32">
        <v>7</v>
      </c>
      <c r="BF18" s="53" t="str">
        <f t="shared" si="4"/>
        <v>P01S1A16</v>
      </c>
      <c r="BG18" s="53">
        <v>1</v>
      </c>
      <c r="BH18" s="53">
        <v>1</v>
      </c>
      <c r="BI18" s="173">
        <v>16</v>
      </c>
      <c r="BJ18" s="173">
        <v>24</v>
      </c>
    </row>
    <row r="19" spans="1:62">
      <c r="A19" s="38" t="str">
        <f t="shared" si="0"/>
        <v>P06S1A32</v>
      </c>
      <c r="B19" s="45" t="s">
        <v>130</v>
      </c>
      <c r="C19" s="38">
        <v>6</v>
      </c>
      <c r="D19" s="38">
        <v>1</v>
      </c>
      <c r="E19" s="38">
        <v>32</v>
      </c>
      <c r="F19" s="38">
        <v>14</v>
      </c>
      <c r="H19" s="54" t="s">
        <v>48</v>
      </c>
      <c r="I19" s="51">
        <v>106</v>
      </c>
      <c r="J19" s="55">
        <v>90</v>
      </c>
      <c r="L19" s="36" t="str">
        <f t="shared" si="1"/>
        <v>P1S1A17</v>
      </c>
      <c r="M19" s="49">
        <v>1</v>
      </c>
      <c r="N19" s="49">
        <v>1</v>
      </c>
      <c r="O19" s="49">
        <v>1</v>
      </c>
      <c r="P19" s="50" t="s">
        <v>49</v>
      </c>
      <c r="Q19" s="51">
        <v>657</v>
      </c>
      <c r="AS19" s="38" t="str">
        <f t="shared" si="2"/>
        <v>P10S2A03</v>
      </c>
      <c r="AT19" s="38">
        <v>10</v>
      </c>
      <c r="AU19" s="38">
        <v>2</v>
      </c>
      <c r="AV19" s="38">
        <v>3</v>
      </c>
      <c r="AW19" s="32">
        <v>323</v>
      </c>
      <c r="AZ19" s="53" t="str">
        <f t="shared" si="3"/>
        <v>P01S1A17</v>
      </c>
      <c r="BA19" s="53">
        <v>1</v>
      </c>
      <c r="BB19" s="53">
        <v>1</v>
      </c>
      <c r="BC19" s="53">
        <v>17</v>
      </c>
      <c r="BD19" s="32">
        <v>7</v>
      </c>
      <c r="BF19" s="53" t="str">
        <f t="shared" si="4"/>
        <v>P01S1A17</v>
      </c>
      <c r="BG19" s="53">
        <v>1</v>
      </c>
      <c r="BH19" s="53">
        <v>1</v>
      </c>
      <c r="BI19" s="173">
        <v>17</v>
      </c>
      <c r="BJ19" s="173">
        <v>27</v>
      </c>
    </row>
    <row r="20" spans="1:62">
      <c r="A20" s="38" t="str">
        <f t="shared" si="0"/>
        <v>P06S1A33</v>
      </c>
      <c r="B20" s="45" t="s">
        <v>130</v>
      </c>
      <c r="C20" s="38">
        <v>6</v>
      </c>
      <c r="D20" s="38">
        <v>1</v>
      </c>
      <c r="E20" s="38">
        <v>33</v>
      </c>
      <c r="F20" s="38">
        <v>15</v>
      </c>
      <c r="H20" s="54" t="s">
        <v>49</v>
      </c>
      <c r="I20" s="51">
        <v>114</v>
      </c>
      <c r="J20" s="55">
        <v>94</v>
      </c>
      <c r="L20" s="36" t="str">
        <f t="shared" si="1"/>
        <v>P1S1A18</v>
      </c>
      <c r="M20" s="49">
        <v>1</v>
      </c>
      <c r="N20" s="49">
        <v>1</v>
      </c>
      <c r="O20" s="49">
        <v>1</v>
      </c>
      <c r="P20" s="50" t="s">
        <v>50</v>
      </c>
      <c r="Q20" s="51">
        <v>657</v>
      </c>
      <c r="AS20" s="38" t="str">
        <f t="shared" si="2"/>
        <v>P10S2A04</v>
      </c>
      <c r="AT20" s="38">
        <v>10</v>
      </c>
      <c r="AU20" s="38">
        <v>2</v>
      </c>
      <c r="AV20" s="38">
        <v>4</v>
      </c>
      <c r="AW20" s="32">
        <v>311</v>
      </c>
      <c r="AZ20" s="53" t="str">
        <f t="shared" si="3"/>
        <v>P01S1A18</v>
      </c>
      <c r="BA20" s="53">
        <v>1</v>
      </c>
      <c r="BB20" s="53">
        <v>1</v>
      </c>
      <c r="BC20" s="53">
        <v>18</v>
      </c>
      <c r="BD20" s="32">
        <v>7</v>
      </c>
      <c r="BF20" s="53" t="str">
        <f t="shared" si="4"/>
        <v>P01S1A18</v>
      </c>
      <c r="BG20" s="53">
        <v>1</v>
      </c>
      <c r="BH20" s="53">
        <v>1</v>
      </c>
      <c r="BI20" s="173">
        <v>18</v>
      </c>
      <c r="BJ20" s="173">
        <v>28</v>
      </c>
    </row>
    <row r="21" spans="1:62">
      <c r="A21" s="38" t="str">
        <f t="shared" si="0"/>
        <v>P06S1A34</v>
      </c>
      <c r="B21" s="45" t="s">
        <v>130</v>
      </c>
      <c r="C21" s="38">
        <v>6</v>
      </c>
      <c r="D21" s="38">
        <v>1</v>
      </c>
      <c r="E21" s="38">
        <v>34</v>
      </c>
      <c r="F21" s="38">
        <v>16</v>
      </c>
      <c r="H21" s="54" t="s">
        <v>50</v>
      </c>
      <c r="I21" s="51">
        <v>118</v>
      </c>
      <c r="J21" s="55">
        <v>104</v>
      </c>
      <c r="L21" s="36" t="str">
        <f t="shared" si="1"/>
        <v>P1S1A19</v>
      </c>
      <c r="M21" s="49">
        <v>1</v>
      </c>
      <c r="N21" s="49">
        <v>1</v>
      </c>
      <c r="O21" s="49">
        <v>1</v>
      </c>
      <c r="P21" s="50" t="s">
        <v>51</v>
      </c>
      <c r="Q21" s="51">
        <v>657</v>
      </c>
      <c r="AS21" s="38" t="str">
        <f t="shared" si="2"/>
        <v>P10S2A05</v>
      </c>
      <c r="AT21" s="38">
        <v>10</v>
      </c>
      <c r="AU21" s="38">
        <v>2</v>
      </c>
      <c r="AV21" s="38">
        <v>5</v>
      </c>
      <c r="AW21" s="32">
        <v>299</v>
      </c>
      <c r="AZ21" s="53" t="str">
        <f t="shared" si="3"/>
        <v>P01S1A19</v>
      </c>
      <c r="BA21" s="53">
        <v>1</v>
      </c>
      <c r="BB21" s="53">
        <v>1</v>
      </c>
      <c r="BC21" s="53">
        <v>19</v>
      </c>
      <c r="BD21" s="32">
        <v>7</v>
      </c>
      <c r="BF21" s="53" t="str">
        <f t="shared" si="4"/>
        <v>P01S1A19</v>
      </c>
      <c r="BG21" s="53">
        <v>1</v>
      </c>
      <c r="BH21" s="53">
        <v>1</v>
      </c>
      <c r="BI21" s="173">
        <v>19</v>
      </c>
      <c r="BJ21" s="173">
        <v>30</v>
      </c>
    </row>
    <row r="22" spans="1:62">
      <c r="A22" s="38" t="str">
        <f t="shared" si="0"/>
        <v>P06S1A35</v>
      </c>
      <c r="B22" s="45" t="s">
        <v>130</v>
      </c>
      <c r="C22" s="38">
        <v>6</v>
      </c>
      <c r="D22" s="38">
        <v>1</v>
      </c>
      <c r="E22" s="38">
        <v>35</v>
      </c>
      <c r="F22" s="38">
        <v>18</v>
      </c>
      <c r="H22" s="54" t="s">
        <v>51</v>
      </c>
      <c r="I22" s="51">
        <v>125</v>
      </c>
      <c r="J22" s="55">
        <v>114</v>
      </c>
      <c r="L22" s="36" t="str">
        <f t="shared" si="1"/>
        <v>P1S1A20</v>
      </c>
      <c r="M22" s="49">
        <v>1</v>
      </c>
      <c r="N22" s="49">
        <v>1</v>
      </c>
      <c r="O22" s="49">
        <v>1</v>
      </c>
      <c r="P22" s="50" t="s">
        <v>52</v>
      </c>
      <c r="Q22" s="51">
        <v>785</v>
      </c>
      <c r="AS22" s="38" t="str">
        <f t="shared" si="2"/>
        <v>P10S2A06</v>
      </c>
      <c r="AT22" s="38">
        <v>10</v>
      </c>
      <c r="AU22" s="38">
        <v>2</v>
      </c>
      <c r="AV22" s="38">
        <v>6</v>
      </c>
      <c r="AW22" s="32">
        <v>289</v>
      </c>
      <c r="AZ22" s="53" t="str">
        <f t="shared" si="3"/>
        <v>P01S1A20</v>
      </c>
      <c r="BA22" s="53">
        <v>1</v>
      </c>
      <c r="BB22" s="53">
        <v>1</v>
      </c>
      <c r="BC22" s="53">
        <v>20</v>
      </c>
      <c r="BD22" s="32">
        <v>8</v>
      </c>
      <c r="BF22" s="53" t="str">
        <f t="shared" si="4"/>
        <v>P01S1A20</v>
      </c>
      <c r="BG22" s="53">
        <v>1</v>
      </c>
      <c r="BH22" s="53">
        <v>1</v>
      </c>
      <c r="BI22" s="173">
        <v>20</v>
      </c>
      <c r="BJ22" s="173">
        <v>34</v>
      </c>
    </row>
    <row r="23" spans="1:62">
      <c r="A23" s="38" t="str">
        <f t="shared" si="0"/>
        <v>P06S1A36</v>
      </c>
      <c r="B23" s="45" t="s">
        <v>130</v>
      </c>
      <c r="C23" s="38">
        <v>6</v>
      </c>
      <c r="D23" s="38">
        <v>1</v>
      </c>
      <c r="E23" s="38">
        <v>36</v>
      </c>
      <c r="F23" s="38">
        <v>19</v>
      </c>
      <c r="H23" s="54" t="s">
        <v>52</v>
      </c>
      <c r="I23" s="51">
        <v>131</v>
      </c>
      <c r="J23" s="55">
        <v>123</v>
      </c>
      <c r="L23" s="36" t="str">
        <f t="shared" si="1"/>
        <v>P1S1A21</v>
      </c>
      <c r="M23" s="49">
        <v>1</v>
      </c>
      <c r="N23" s="49">
        <v>1</v>
      </c>
      <c r="O23" s="49">
        <v>1</v>
      </c>
      <c r="P23" s="50" t="s">
        <v>53</v>
      </c>
      <c r="Q23" s="51">
        <v>785</v>
      </c>
      <c r="AS23" s="38" t="str">
        <f t="shared" si="2"/>
        <v>P10S2A07</v>
      </c>
      <c r="AT23" s="38">
        <v>10</v>
      </c>
      <c r="AU23" s="38">
        <v>2</v>
      </c>
      <c r="AV23" s="38">
        <v>7</v>
      </c>
      <c r="AW23" s="32">
        <v>279</v>
      </c>
      <c r="AZ23" s="53" t="str">
        <f t="shared" si="3"/>
        <v>P01S1A21</v>
      </c>
      <c r="BA23" s="53">
        <v>1</v>
      </c>
      <c r="BB23" s="53">
        <v>1</v>
      </c>
      <c r="BC23" s="53">
        <v>21</v>
      </c>
      <c r="BD23" s="32">
        <v>8</v>
      </c>
      <c r="BF23" s="53" t="str">
        <f t="shared" si="4"/>
        <v>P01S1A21</v>
      </c>
      <c r="BG23" s="53">
        <v>1</v>
      </c>
      <c r="BH23" s="53">
        <v>1</v>
      </c>
      <c r="BI23" s="173">
        <v>21</v>
      </c>
      <c r="BJ23" s="173">
        <v>36</v>
      </c>
    </row>
    <row r="24" spans="1:62">
      <c r="A24" s="38" t="str">
        <f t="shared" si="0"/>
        <v>P06S1A37</v>
      </c>
      <c r="B24" s="45" t="s">
        <v>130</v>
      </c>
      <c r="C24" s="38">
        <v>6</v>
      </c>
      <c r="D24" s="38">
        <v>1</v>
      </c>
      <c r="E24" s="38">
        <v>37</v>
      </c>
      <c r="F24" s="38">
        <v>22</v>
      </c>
      <c r="H24" s="54" t="s">
        <v>53</v>
      </c>
      <c r="I24" s="51">
        <v>138</v>
      </c>
      <c r="J24" s="55">
        <v>136</v>
      </c>
      <c r="L24" s="36" t="str">
        <f t="shared" si="1"/>
        <v>P1S1A22</v>
      </c>
      <c r="M24" s="49">
        <v>1</v>
      </c>
      <c r="N24" s="49">
        <v>1</v>
      </c>
      <c r="O24" s="49">
        <v>1</v>
      </c>
      <c r="P24" s="50" t="s">
        <v>54</v>
      </c>
      <c r="Q24" s="51">
        <v>785</v>
      </c>
      <c r="AS24" s="38" t="str">
        <f t="shared" si="2"/>
        <v>P10S2A08</v>
      </c>
      <c r="AT24" s="38">
        <v>10</v>
      </c>
      <c r="AU24" s="38">
        <v>2</v>
      </c>
      <c r="AV24" s="38">
        <v>8</v>
      </c>
      <c r="AW24" s="32">
        <v>270</v>
      </c>
      <c r="AZ24" s="53" t="str">
        <f t="shared" si="3"/>
        <v>P01S1A22</v>
      </c>
      <c r="BA24" s="53">
        <v>1</v>
      </c>
      <c r="BB24" s="53">
        <v>1</v>
      </c>
      <c r="BC24" s="53">
        <v>22</v>
      </c>
      <c r="BD24" s="32">
        <v>8</v>
      </c>
      <c r="BF24" s="53" t="str">
        <f t="shared" si="4"/>
        <v>P01S1A22</v>
      </c>
      <c r="BG24" s="53">
        <v>1</v>
      </c>
      <c r="BH24" s="53">
        <v>1</v>
      </c>
      <c r="BI24" s="173">
        <v>22</v>
      </c>
      <c r="BJ24" s="173">
        <v>38</v>
      </c>
    </row>
    <row r="25" spans="1:62">
      <c r="A25" s="38" t="str">
        <f t="shared" si="0"/>
        <v>P06S1A38</v>
      </c>
      <c r="B25" s="45" t="s">
        <v>130</v>
      </c>
      <c r="C25" s="38">
        <v>6</v>
      </c>
      <c r="D25" s="38">
        <v>1</v>
      </c>
      <c r="E25" s="38">
        <v>38</v>
      </c>
      <c r="F25" s="38">
        <v>23</v>
      </c>
      <c r="H25" s="54" t="s">
        <v>54</v>
      </c>
      <c r="I25" s="51">
        <v>144</v>
      </c>
      <c r="J25" s="55">
        <v>149</v>
      </c>
      <c r="L25" s="36" t="str">
        <f t="shared" si="1"/>
        <v>P1S1A23</v>
      </c>
      <c r="M25" s="49">
        <v>1</v>
      </c>
      <c r="N25" s="49">
        <v>1</v>
      </c>
      <c r="O25" s="49">
        <v>1</v>
      </c>
      <c r="P25" s="50" t="s">
        <v>55</v>
      </c>
      <c r="Q25" s="51">
        <v>785</v>
      </c>
      <c r="AS25" s="38" t="str">
        <f t="shared" si="2"/>
        <v>P10S2A09</v>
      </c>
      <c r="AT25" s="38">
        <v>10</v>
      </c>
      <c r="AU25" s="38">
        <v>2</v>
      </c>
      <c r="AV25" s="38">
        <v>9</v>
      </c>
      <c r="AW25" s="32">
        <v>260</v>
      </c>
      <c r="AZ25" s="53" t="str">
        <f t="shared" si="3"/>
        <v>P01S1A23</v>
      </c>
      <c r="BA25" s="53">
        <v>1</v>
      </c>
      <c r="BB25" s="53">
        <v>1</v>
      </c>
      <c r="BC25" s="53">
        <v>23</v>
      </c>
      <c r="BD25" s="32">
        <v>8</v>
      </c>
      <c r="BF25" s="53" t="str">
        <f t="shared" si="4"/>
        <v>P01S1A23</v>
      </c>
      <c r="BG25" s="53">
        <v>1</v>
      </c>
      <c r="BH25" s="53">
        <v>1</v>
      </c>
      <c r="BI25" s="173">
        <v>23</v>
      </c>
      <c r="BJ25" s="173">
        <v>41</v>
      </c>
    </row>
    <row r="26" spans="1:62">
      <c r="A26" s="38" t="str">
        <f t="shared" si="0"/>
        <v>P06S1A39</v>
      </c>
      <c r="B26" s="45" t="s">
        <v>130</v>
      </c>
      <c r="C26" s="38">
        <v>6</v>
      </c>
      <c r="D26" s="38">
        <v>1</v>
      </c>
      <c r="E26" s="38">
        <v>39</v>
      </c>
      <c r="F26" s="38">
        <v>25</v>
      </c>
      <c r="H26" s="54" t="s">
        <v>55</v>
      </c>
      <c r="I26" s="51">
        <v>157</v>
      </c>
      <c r="J26" s="55">
        <v>168</v>
      </c>
      <c r="L26" s="36" t="str">
        <f t="shared" si="1"/>
        <v>P1S1A24</v>
      </c>
      <c r="M26" s="49">
        <v>1</v>
      </c>
      <c r="N26" s="49">
        <v>1</v>
      </c>
      <c r="O26" s="49">
        <v>1</v>
      </c>
      <c r="P26" s="50" t="s">
        <v>56</v>
      </c>
      <c r="Q26" s="51">
        <v>785</v>
      </c>
      <c r="AS26" s="38" t="str">
        <f t="shared" si="2"/>
        <v>P10S2A10</v>
      </c>
      <c r="AT26" s="38">
        <v>10</v>
      </c>
      <c r="AU26" s="38">
        <v>2</v>
      </c>
      <c r="AV26" s="38">
        <v>10</v>
      </c>
      <c r="AW26" s="32">
        <v>251</v>
      </c>
      <c r="AZ26" s="53" t="str">
        <f t="shared" si="3"/>
        <v>P01S1A24</v>
      </c>
      <c r="BA26" s="53">
        <v>1</v>
      </c>
      <c r="BB26" s="53">
        <v>1</v>
      </c>
      <c r="BC26" s="53">
        <v>24</v>
      </c>
      <c r="BD26" s="32">
        <v>8</v>
      </c>
      <c r="BF26" s="53" t="str">
        <f t="shared" si="4"/>
        <v>P01S1A24</v>
      </c>
      <c r="BG26" s="53">
        <v>1</v>
      </c>
      <c r="BH26" s="53">
        <v>1</v>
      </c>
      <c r="BI26" s="173">
        <v>24</v>
      </c>
      <c r="BJ26" s="173">
        <v>45</v>
      </c>
    </row>
    <row r="27" spans="1:62">
      <c r="A27" s="38" t="str">
        <f t="shared" si="0"/>
        <v>P06S1A40</v>
      </c>
      <c r="B27" s="45" t="s">
        <v>130</v>
      </c>
      <c r="C27" s="38">
        <v>6</v>
      </c>
      <c r="D27" s="38">
        <v>1</v>
      </c>
      <c r="E27" s="38">
        <v>40</v>
      </c>
      <c r="F27" s="38">
        <v>28</v>
      </c>
      <c r="H27" s="54" t="s">
        <v>56</v>
      </c>
      <c r="I27" s="51">
        <v>171</v>
      </c>
      <c r="J27" s="55">
        <v>190</v>
      </c>
      <c r="L27" s="36" t="str">
        <f t="shared" si="1"/>
        <v>P1S1A25</v>
      </c>
      <c r="M27" s="49">
        <v>1</v>
      </c>
      <c r="N27" s="49">
        <v>1</v>
      </c>
      <c r="O27" s="49">
        <v>1</v>
      </c>
      <c r="P27" s="50" t="s">
        <v>57</v>
      </c>
      <c r="Q27" s="51">
        <v>825</v>
      </c>
      <c r="AS27" s="38" t="str">
        <f t="shared" si="2"/>
        <v>P10S2A11</v>
      </c>
      <c r="AT27" s="38">
        <v>10</v>
      </c>
      <c r="AU27" s="38">
        <v>2</v>
      </c>
      <c r="AV27" s="38">
        <v>11</v>
      </c>
      <c r="AW27" s="32">
        <v>242</v>
      </c>
      <c r="AZ27" s="53" t="str">
        <f t="shared" si="3"/>
        <v>P01S1A25</v>
      </c>
      <c r="BA27" s="53">
        <v>1</v>
      </c>
      <c r="BB27" s="53">
        <v>1</v>
      </c>
      <c r="BC27" s="53">
        <v>25</v>
      </c>
      <c r="BD27" s="32">
        <v>10</v>
      </c>
      <c r="BF27" s="53" t="str">
        <f t="shared" si="4"/>
        <v>P01S1A25</v>
      </c>
      <c r="BG27" s="53">
        <v>1</v>
      </c>
      <c r="BH27" s="53">
        <v>1</v>
      </c>
      <c r="BI27" s="173">
        <v>25</v>
      </c>
      <c r="BJ27" s="173">
        <v>48</v>
      </c>
    </row>
    <row r="28" spans="1:62">
      <c r="A28" s="38" t="str">
        <f t="shared" si="0"/>
        <v>P06S1A41</v>
      </c>
      <c r="B28" s="45" t="s">
        <v>130</v>
      </c>
      <c r="C28" s="38">
        <v>6</v>
      </c>
      <c r="D28" s="38">
        <v>1</v>
      </c>
      <c r="E28" s="38">
        <v>41</v>
      </c>
      <c r="F28" s="38">
        <v>29</v>
      </c>
      <c r="H28" s="54" t="s">
        <v>57</v>
      </c>
      <c r="I28" s="51">
        <v>187</v>
      </c>
      <c r="J28" s="55">
        <v>216</v>
      </c>
      <c r="L28" s="36" t="str">
        <f t="shared" si="1"/>
        <v>P1S1A26</v>
      </c>
      <c r="M28" s="49">
        <v>1</v>
      </c>
      <c r="N28" s="49">
        <v>1</v>
      </c>
      <c r="O28" s="49">
        <v>1</v>
      </c>
      <c r="P28" s="50" t="s">
        <v>58</v>
      </c>
      <c r="Q28" s="51">
        <v>825</v>
      </c>
      <c r="AS28" s="38" t="str">
        <f t="shared" si="2"/>
        <v>P10S2A12</v>
      </c>
      <c r="AT28" s="38">
        <v>10</v>
      </c>
      <c r="AU28" s="38">
        <v>2</v>
      </c>
      <c r="AV28" s="38">
        <v>12</v>
      </c>
      <c r="AW28" s="32">
        <v>233</v>
      </c>
      <c r="AZ28" s="53" t="str">
        <f t="shared" si="3"/>
        <v>P01S1A26</v>
      </c>
      <c r="BA28" s="53">
        <v>1</v>
      </c>
      <c r="BB28" s="53">
        <v>1</v>
      </c>
      <c r="BC28" s="53">
        <v>26</v>
      </c>
      <c r="BD28" s="32">
        <v>10</v>
      </c>
      <c r="BF28" s="53" t="str">
        <f t="shared" si="4"/>
        <v>P01S1A26</v>
      </c>
      <c r="BG28" s="53">
        <v>1</v>
      </c>
      <c r="BH28" s="53">
        <v>1</v>
      </c>
      <c r="BI28" s="173">
        <v>26</v>
      </c>
      <c r="BJ28" s="173">
        <v>52</v>
      </c>
    </row>
    <row r="29" spans="1:62">
      <c r="A29" s="38" t="str">
        <f t="shared" si="0"/>
        <v>P06S1A42</v>
      </c>
      <c r="B29" s="45" t="s">
        <v>130</v>
      </c>
      <c r="C29" s="38">
        <v>6</v>
      </c>
      <c r="D29" s="38">
        <v>1</v>
      </c>
      <c r="E29" s="38">
        <v>42</v>
      </c>
      <c r="F29" s="38">
        <v>31</v>
      </c>
      <c r="H29" s="54" t="s">
        <v>58</v>
      </c>
      <c r="I29" s="51">
        <v>203</v>
      </c>
      <c r="J29" s="55">
        <v>243</v>
      </c>
      <c r="L29" s="36" t="str">
        <f t="shared" si="1"/>
        <v>P1S1A27</v>
      </c>
      <c r="M29" s="49">
        <v>1</v>
      </c>
      <c r="N29" s="49">
        <v>1</v>
      </c>
      <c r="O29" s="49">
        <v>1</v>
      </c>
      <c r="P29" s="50" t="s">
        <v>59</v>
      </c>
      <c r="Q29" s="51">
        <v>825</v>
      </c>
      <c r="AS29" s="38" t="str">
        <f t="shared" si="2"/>
        <v>P10S2A13</v>
      </c>
      <c r="AT29" s="38">
        <v>10</v>
      </c>
      <c r="AU29" s="38">
        <v>2</v>
      </c>
      <c r="AV29" s="38">
        <v>13</v>
      </c>
      <c r="AW29" s="32">
        <v>223</v>
      </c>
      <c r="AZ29" s="53" t="str">
        <f t="shared" si="3"/>
        <v>P01S1A27</v>
      </c>
      <c r="BA29" s="53">
        <v>1</v>
      </c>
      <c r="BB29" s="53">
        <v>1</v>
      </c>
      <c r="BC29" s="53">
        <v>27</v>
      </c>
      <c r="BD29" s="32">
        <v>10</v>
      </c>
      <c r="BF29" s="53" t="str">
        <f t="shared" si="4"/>
        <v>P01S1A27</v>
      </c>
      <c r="BG29" s="53">
        <v>1</v>
      </c>
      <c r="BH29" s="53">
        <v>1</v>
      </c>
      <c r="BI29" s="173">
        <v>27</v>
      </c>
      <c r="BJ29" s="173">
        <v>57</v>
      </c>
    </row>
    <row r="30" spans="1:62">
      <c r="A30" s="38" t="str">
        <f t="shared" si="0"/>
        <v>P06S1A43</v>
      </c>
      <c r="B30" s="45" t="s">
        <v>130</v>
      </c>
      <c r="C30" s="38">
        <v>6</v>
      </c>
      <c r="D30" s="38">
        <v>1</v>
      </c>
      <c r="E30" s="38">
        <v>43</v>
      </c>
      <c r="F30" s="38">
        <v>34</v>
      </c>
      <c r="H30" s="54" t="s">
        <v>59</v>
      </c>
      <c r="I30" s="51">
        <v>222</v>
      </c>
      <c r="J30" s="55">
        <v>275</v>
      </c>
      <c r="L30" s="36" t="str">
        <f t="shared" si="1"/>
        <v>P1S1A28</v>
      </c>
      <c r="M30" s="49">
        <v>1</v>
      </c>
      <c r="N30" s="49">
        <v>1</v>
      </c>
      <c r="O30" s="49">
        <v>1</v>
      </c>
      <c r="P30" s="50" t="s">
        <v>60</v>
      </c>
      <c r="Q30" s="51">
        <v>825</v>
      </c>
      <c r="AS30" s="38" t="str">
        <f t="shared" si="2"/>
        <v>P10S2A14</v>
      </c>
      <c r="AT30" s="38">
        <v>10</v>
      </c>
      <c r="AU30" s="38">
        <v>2</v>
      </c>
      <c r="AV30" s="38">
        <v>14</v>
      </c>
      <c r="AW30" s="32">
        <v>213</v>
      </c>
      <c r="AZ30" s="53" t="str">
        <f t="shared" si="3"/>
        <v>P01S1A28</v>
      </c>
      <c r="BA30" s="53">
        <v>1</v>
      </c>
      <c r="BB30" s="53">
        <v>1</v>
      </c>
      <c r="BC30" s="53">
        <v>28</v>
      </c>
      <c r="BD30" s="32">
        <v>10</v>
      </c>
      <c r="BF30" s="53" t="str">
        <f t="shared" si="4"/>
        <v>P01S1A28</v>
      </c>
      <c r="BG30" s="53">
        <v>1</v>
      </c>
      <c r="BH30" s="53">
        <v>1</v>
      </c>
      <c r="BI30" s="173">
        <v>28</v>
      </c>
      <c r="BJ30" s="173">
        <v>64</v>
      </c>
    </row>
    <row r="31" spans="1:62">
      <c r="A31" s="38" t="str">
        <f t="shared" si="0"/>
        <v>P06S1A44</v>
      </c>
      <c r="B31" s="45" t="s">
        <v>130</v>
      </c>
      <c r="C31" s="38">
        <v>6</v>
      </c>
      <c r="D31" s="38">
        <v>1</v>
      </c>
      <c r="E31" s="38">
        <v>44</v>
      </c>
      <c r="F31" s="38">
        <v>36</v>
      </c>
      <c r="H31" s="54" t="s">
        <v>60</v>
      </c>
      <c r="I31" s="51">
        <v>259</v>
      </c>
      <c r="J31" s="55">
        <v>309</v>
      </c>
      <c r="L31" s="36" t="str">
        <f t="shared" si="1"/>
        <v>P1S1A29</v>
      </c>
      <c r="M31" s="49">
        <v>1</v>
      </c>
      <c r="N31" s="49">
        <v>1</v>
      </c>
      <c r="O31" s="49">
        <v>1</v>
      </c>
      <c r="P31" s="50" t="s">
        <v>61</v>
      </c>
      <c r="Q31" s="51">
        <v>825</v>
      </c>
      <c r="AS31" s="38" t="str">
        <f t="shared" si="2"/>
        <v>P10S2A15</v>
      </c>
      <c r="AT31" s="38">
        <v>10</v>
      </c>
      <c r="AU31" s="38">
        <v>2</v>
      </c>
      <c r="AV31" s="38">
        <v>15</v>
      </c>
      <c r="AW31" s="32">
        <v>202</v>
      </c>
      <c r="AZ31" s="53" t="str">
        <f t="shared" si="3"/>
        <v>P01S1A29</v>
      </c>
      <c r="BA31" s="53">
        <v>1</v>
      </c>
      <c r="BB31" s="53">
        <v>1</v>
      </c>
      <c r="BC31" s="53">
        <v>29</v>
      </c>
      <c r="BD31" s="32">
        <v>10</v>
      </c>
      <c r="BF31" s="53" t="str">
        <f t="shared" si="4"/>
        <v>P01S1A29</v>
      </c>
      <c r="BG31" s="53">
        <v>1</v>
      </c>
      <c r="BH31" s="53">
        <v>1</v>
      </c>
      <c r="BI31" s="173">
        <v>29</v>
      </c>
      <c r="BJ31" s="173">
        <v>72</v>
      </c>
    </row>
    <row r="32" spans="1:62">
      <c r="A32" s="38" t="str">
        <f t="shared" si="0"/>
        <v>P06S1A45</v>
      </c>
      <c r="B32" s="45" t="s">
        <v>130</v>
      </c>
      <c r="C32" s="38">
        <v>6</v>
      </c>
      <c r="D32" s="38">
        <v>1</v>
      </c>
      <c r="E32" s="38">
        <v>45</v>
      </c>
      <c r="F32" s="38">
        <v>40</v>
      </c>
      <c r="H32" s="54" t="s">
        <v>61</v>
      </c>
      <c r="I32" s="51">
        <v>301</v>
      </c>
      <c r="J32" s="55">
        <v>349</v>
      </c>
      <c r="L32" s="36" t="str">
        <f t="shared" si="1"/>
        <v>P1S1A30</v>
      </c>
      <c r="M32" s="49">
        <v>1</v>
      </c>
      <c r="N32" s="49">
        <v>1</v>
      </c>
      <c r="O32" s="49">
        <v>1</v>
      </c>
      <c r="P32" s="50" t="s">
        <v>62</v>
      </c>
      <c r="Q32" s="51">
        <v>1057</v>
      </c>
      <c r="AZ32" s="53" t="str">
        <f t="shared" si="3"/>
        <v>P01S1A30</v>
      </c>
      <c r="BA32" s="53">
        <v>1</v>
      </c>
      <c r="BB32" s="53">
        <v>1</v>
      </c>
      <c r="BC32" s="53">
        <v>30</v>
      </c>
      <c r="BD32" s="53">
        <v>16</v>
      </c>
      <c r="BF32" s="53" t="str">
        <f t="shared" si="4"/>
        <v>P01S1A30</v>
      </c>
      <c r="BG32" s="53">
        <v>1</v>
      </c>
      <c r="BH32" s="53">
        <v>1</v>
      </c>
      <c r="BI32" s="173">
        <v>30</v>
      </c>
      <c r="BJ32" s="173">
        <v>79</v>
      </c>
    </row>
    <row r="33" spans="1:62">
      <c r="A33" s="38" t="str">
        <f t="shared" si="0"/>
        <v>P06S1A46</v>
      </c>
      <c r="B33" s="45" t="s">
        <v>130</v>
      </c>
      <c r="C33" s="38">
        <v>6</v>
      </c>
      <c r="D33" s="38">
        <v>1</v>
      </c>
      <c r="E33" s="38">
        <v>46</v>
      </c>
      <c r="F33" s="38">
        <v>42</v>
      </c>
      <c r="H33" s="54" t="s">
        <v>62</v>
      </c>
      <c r="I33" s="51">
        <v>350</v>
      </c>
      <c r="J33" s="55">
        <v>392</v>
      </c>
      <c r="L33" s="36" t="str">
        <f t="shared" si="1"/>
        <v>P1S1A31</v>
      </c>
      <c r="M33" s="49">
        <v>1</v>
      </c>
      <c r="N33" s="49">
        <v>1</v>
      </c>
      <c r="O33" s="49">
        <v>1</v>
      </c>
      <c r="P33" s="50" t="s">
        <v>63</v>
      </c>
      <c r="Q33" s="51">
        <v>1057</v>
      </c>
      <c r="AZ33" s="53" t="str">
        <f t="shared" si="3"/>
        <v>P01S1A31</v>
      </c>
      <c r="BA33" s="53">
        <v>1</v>
      </c>
      <c r="BB33" s="53">
        <v>1</v>
      </c>
      <c r="BC33" s="53">
        <v>31</v>
      </c>
      <c r="BD33" s="53">
        <v>16</v>
      </c>
      <c r="BF33" s="53" t="str">
        <f t="shared" si="4"/>
        <v>P01S1A31</v>
      </c>
      <c r="BG33" s="53">
        <v>1</v>
      </c>
      <c r="BH33" s="53">
        <v>1</v>
      </c>
      <c r="BI33" s="173">
        <v>31</v>
      </c>
      <c r="BJ33" s="173">
        <v>89</v>
      </c>
    </row>
    <row r="34" spans="1:62">
      <c r="A34" s="38" t="str">
        <f t="shared" ref="A34:A65" si="5">"P"&amp;REPT("0",2-LEN(C34))&amp;C34&amp;"S"&amp;D34&amp;"A"&amp;REPT("0",2-LEN(E34))&amp;E34</f>
        <v>P06S1A47</v>
      </c>
      <c r="B34" s="45" t="s">
        <v>130</v>
      </c>
      <c r="C34" s="38">
        <v>6</v>
      </c>
      <c r="D34" s="38">
        <v>1</v>
      </c>
      <c r="E34" s="38">
        <v>47</v>
      </c>
      <c r="F34" s="38">
        <v>44</v>
      </c>
      <c r="H34" s="54" t="s">
        <v>63</v>
      </c>
      <c r="I34" s="51">
        <v>408</v>
      </c>
      <c r="J34" s="55">
        <v>442</v>
      </c>
      <c r="L34" s="36" t="str">
        <f t="shared" ref="L34:L65" si="6">"P"&amp;M34&amp;"S"&amp;O34&amp;"A"&amp;REPT("0",2-LEN(P34))&amp;P34</f>
        <v>P1S1A32</v>
      </c>
      <c r="M34" s="49">
        <v>1</v>
      </c>
      <c r="N34" s="49">
        <v>1</v>
      </c>
      <c r="O34" s="49">
        <v>1</v>
      </c>
      <c r="P34" s="50" t="s">
        <v>64</v>
      </c>
      <c r="Q34" s="51">
        <v>1057</v>
      </c>
      <c r="AZ34" s="53" t="str">
        <f t="shared" ref="AZ34:AZ65" si="7">"P"&amp;REPT("0",2-LEN(BA34))&amp;BA34&amp;"S"&amp;BB34&amp;"A"&amp;REPT("0",2-LEN(BC34))&amp;BC34</f>
        <v>P01S1A32</v>
      </c>
      <c r="BA34" s="53">
        <v>1</v>
      </c>
      <c r="BB34" s="53">
        <v>1</v>
      </c>
      <c r="BC34" s="53">
        <v>32</v>
      </c>
      <c r="BD34" s="53">
        <v>16</v>
      </c>
      <c r="BF34" s="53" t="str">
        <f t="shared" si="4"/>
        <v>P01S1A32</v>
      </c>
      <c r="BG34" s="53">
        <v>1</v>
      </c>
      <c r="BH34" s="53">
        <v>1</v>
      </c>
      <c r="BI34" s="173">
        <v>32</v>
      </c>
      <c r="BJ34" s="173">
        <v>101</v>
      </c>
    </row>
    <row r="35" spans="1:62">
      <c r="A35" s="38" t="str">
        <f t="shared" si="5"/>
        <v>P06S1A48</v>
      </c>
      <c r="B35" s="45" t="s">
        <v>130</v>
      </c>
      <c r="C35" s="38">
        <v>6</v>
      </c>
      <c r="D35" s="38">
        <v>1</v>
      </c>
      <c r="E35" s="38">
        <v>48</v>
      </c>
      <c r="F35" s="38">
        <v>48</v>
      </c>
      <c r="H35" s="54" t="s">
        <v>64</v>
      </c>
      <c r="I35" s="51">
        <v>475</v>
      </c>
      <c r="J35" s="55">
        <v>499</v>
      </c>
      <c r="L35" s="36" t="str">
        <f t="shared" si="6"/>
        <v>P1S1A33</v>
      </c>
      <c r="M35" s="49">
        <v>1</v>
      </c>
      <c r="N35" s="49">
        <v>1</v>
      </c>
      <c r="O35" s="49">
        <v>1</v>
      </c>
      <c r="P35" s="50" t="s">
        <v>65</v>
      </c>
      <c r="Q35" s="51">
        <v>1057</v>
      </c>
      <c r="AZ35" s="53" t="str">
        <f t="shared" si="7"/>
        <v>P01S1A33</v>
      </c>
      <c r="BA35" s="53">
        <v>1</v>
      </c>
      <c r="BB35" s="53">
        <v>1</v>
      </c>
      <c r="BC35" s="53">
        <v>33</v>
      </c>
      <c r="BD35" s="53">
        <v>17</v>
      </c>
      <c r="BF35" s="53" t="str">
        <f t="shared" si="4"/>
        <v>P01S1A33</v>
      </c>
      <c r="BG35" s="53">
        <v>1</v>
      </c>
      <c r="BH35" s="53">
        <v>1</v>
      </c>
      <c r="BI35" s="173">
        <v>33</v>
      </c>
      <c r="BJ35" s="173">
        <v>115</v>
      </c>
    </row>
    <row r="36" spans="1:62">
      <c r="A36" s="38" t="str">
        <f t="shared" si="5"/>
        <v>P06S1A49</v>
      </c>
      <c r="B36" s="45" t="s">
        <v>130</v>
      </c>
      <c r="C36" s="38">
        <v>6</v>
      </c>
      <c r="D36" s="38">
        <v>1</v>
      </c>
      <c r="E36" s="38">
        <v>49</v>
      </c>
      <c r="F36" s="38">
        <v>52</v>
      </c>
      <c r="H36" s="54" t="s">
        <v>65</v>
      </c>
      <c r="I36" s="51">
        <v>549</v>
      </c>
      <c r="J36" s="55">
        <v>554</v>
      </c>
      <c r="L36" s="36" t="str">
        <f t="shared" si="6"/>
        <v>P1S1A34</v>
      </c>
      <c r="M36" s="49">
        <v>1</v>
      </c>
      <c r="N36" s="49">
        <v>1</v>
      </c>
      <c r="O36" s="49">
        <v>1</v>
      </c>
      <c r="P36" s="50" t="s">
        <v>66</v>
      </c>
      <c r="Q36" s="51">
        <v>1057</v>
      </c>
      <c r="AZ36" s="53" t="str">
        <f t="shared" si="7"/>
        <v>P01S1A34</v>
      </c>
      <c r="BA36" s="53">
        <v>1</v>
      </c>
      <c r="BB36" s="53">
        <v>1</v>
      </c>
      <c r="BC36" s="53">
        <v>34</v>
      </c>
      <c r="BD36" s="53">
        <v>17</v>
      </c>
      <c r="BF36" s="53" t="str">
        <f t="shared" si="4"/>
        <v>P01S1A34</v>
      </c>
      <c r="BG36" s="53">
        <v>1</v>
      </c>
      <c r="BH36" s="53">
        <v>1</v>
      </c>
      <c r="BI36" s="173">
        <v>34</v>
      </c>
      <c r="BJ36" s="173">
        <v>131</v>
      </c>
    </row>
    <row r="37" spans="1:62">
      <c r="A37" s="38" t="str">
        <f t="shared" si="5"/>
        <v>P06S1A50</v>
      </c>
      <c r="B37" s="45" t="s">
        <v>130</v>
      </c>
      <c r="C37" s="38">
        <v>6</v>
      </c>
      <c r="D37" s="38">
        <v>1</v>
      </c>
      <c r="E37" s="38">
        <v>50</v>
      </c>
      <c r="F37" s="38">
        <v>59</v>
      </c>
      <c r="H37" s="54" t="s">
        <v>66</v>
      </c>
      <c r="I37" s="51">
        <v>634</v>
      </c>
      <c r="J37" s="55">
        <v>616</v>
      </c>
      <c r="L37" s="36" t="str">
        <f t="shared" si="6"/>
        <v>P1S1A35</v>
      </c>
      <c r="M37" s="49">
        <v>1</v>
      </c>
      <c r="N37" s="49">
        <v>1</v>
      </c>
      <c r="O37" s="49">
        <v>1</v>
      </c>
      <c r="P37" s="50" t="s">
        <v>67</v>
      </c>
      <c r="Q37" s="51">
        <v>1460</v>
      </c>
      <c r="AZ37" s="53" t="str">
        <f t="shared" si="7"/>
        <v>P01S1A35</v>
      </c>
      <c r="BA37" s="53">
        <v>1</v>
      </c>
      <c r="BB37" s="53">
        <v>1</v>
      </c>
      <c r="BC37" s="53">
        <v>35</v>
      </c>
      <c r="BD37" s="53">
        <v>26</v>
      </c>
      <c r="BF37" s="53" t="str">
        <f t="shared" si="4"/>
        <v>P01S1A35</v>
      </c>
      <c r="BG37" s="53">
        <v>1</v>
      </c>
      <c r="BH37" s="53">
        <v>1</v>
      </c>
      <c r="BI37" s="173">
        <v>35</v>
      </c>
      <c r="BJ37" s="173">
        <v>158</v>
      </c>
    </row>
    <row r="38" spans="1:62">
      <c r="A38" s="38" t="str">
        <f t="shared" si="5"/>
        <v>P06S1A51</v>
      </c>
      <c r="B38" s="45" t="s">
        <v>130</v>
      </c>
      <c r="C38" s="38">
        <v>6</v>
      </c>
      <c r="D38" s="38">
        <v>1</v>
      </c>
      <c r="E38" s="38">
        <v>51</v>
      </c>
      <c r="F38" s="38">
        <v>65</v>
      </c>
      <c r="H38" s="54" t="s">
        <v>67</v>
      </c>
      <c r="I38" s="51">
        <v>731</v>
      </c>
      <c r="J38" s="55">
        <v>685</v>
      </c>
      <c r="L38" s="36" t="str">
        <f t="shared" si="6"/>
        <v>P1S1A36</v>
      </c>
      <c r="M38" s="49">
        <v>1</v>
      </c>
      <c r="N38" s="49">
        <v>1</v>
      </c>
      <c r="O38" s="49">
        <v>1</v>
      </c>
      <c r="P38" s="50" t="s">
        <v>68</v>
      </c>
      <c r="Q38" s="51">
        <v>1460</v>
      </c>
      <c r="AZ38" s="53" t="str">
        <f t="shared" si="7"/>
        <v>P01S1A36</v>
      </c>
      <c r="BA38" s="53">
        <v>1</v>
      </c>
      <c r="BB38" s="53">
        <v>1</v>
      </c>
      <c r="BC38" s="53">
        <v>36</v>
      </c>
      <c r="BD38" s="53">
        <v>27</v>
      </c>
      <c r="BF38" s="53" t="str">
        <f t="shared" si="4"/>
        <v>P01S1A36</v>
      </c>
      <c r="BG38" s="53">
        <v>1</v>
      </c>
      <c r="BH38" s="53">
        <v>1</v>
      </c>
      <c r="BI38" s="173">
        <v>36</v>
      </c>
      <c r="BJ38" s="173">
        <v>180</v>
      </c>
    </row>
    <row r="39" spans="1:62">
      <c r="A39" s="38" t="str">
        <f t="shared" si="5"/>
        <v>P06S1A52</v>
      </c>
      <c r="B39" s="45" t="s">
        <v>130</v>
      </c>
      <c r="C39" s="38">
        <v>6</v>
      </c>
      <c r="D39" s="38">
        <v>1</v>
      </c>
      <c r="E39" s="38">
        <v>52</v>
      </c>
      <c r="F39" s="38">
        <v>71</v>
      </c>
      <c r="H39" s="54" t="s">
        <v>68</v>
      </c>
      <c r="I39" s="51">
        <v>845</v>
      </c>
      <c r="J39" s="55">
        <v>762</v>
      </c>
      <c r="L39" s="36" t="str">
        <f t="shared" si="6"/>
        <v>P1S1A37</v>
      </c>
      <c r="M39" s="49">
        <v>1</v>
      </c>
      <c r="N39" s="49">
        <v>1</v>
      </c>
      <c r="O39" s="49">
        <v>1</v>
      </c>
      <c r="P39" s="50" t="s">
        <v>69</v>
      </c>
      <c r="Q39" s="51">
        <v>1460</v>
      </c>
      <c r="AZ39" s="53" t="str">
        <f t="shared" si="7"/>
        <v>P01S1A37</v>
      </c>
      <c r="BA39" s="53">
        <v>1</v>
      </c>
      <c r="BB39" s="53">
        <v>1</v>
      </c>
      <c r="BC39" s="53">
        <v>37</v>
      </c>
      <c r="BD39" s="53">
        <v>27</v>
      </c>
      <c r="BF39" s="53" t="str">
        <f t="shared" si="4"/>
        <v>P01S1A37</v>
      </c>
      <c r="BG39" s="53">
        <v>1</v>
      </c>
      <c r="BH39" s="53">
        <v>1</v>
      </c>
      <c r="BI39" s="173">
        <v>37</v>
      </c>
      <c r="BJ39" s="173">
        <v>205</v>
      </c>
    </row>
    <row r="40" spans="1:62">
      <c r="A40" s="38" t="str">
        <f t="shared" si="5"/>
        <v>P06S1A53</v>
      </c>
      <c r="B40" s="45" t="s">
        <v>130</v>
      </c>
      <c r="C40" s="38">
        <v>6</v>
      </c>
      <c r="D40" s="38">
        <v>1</v>
      </c>
      <c r="E40" s="38">
        <v>53</v>
      </c>
      <c r="F40" s="38">
        <v>77</v>
      </c>
      <c r="H40" s="54" t="s">
        <v>69</v>
      </c>
      <c r="I40" s="51">
        <v>976</v>
      </c>
      <c r="J40" s="55">
        <v>848</v>
      </c>
      <c r="L40" s="36" t="str">
        <f t="shared" si="6"/>
        <v>P1S1A38</v>
      </c>
      <c r="M40" s="49">
        <v>1</v>
      </c>
      <c r="N40" s="49">
        <v>1</v>
      </c>
      <c r="O40" s="49">
        <v>1</v>
      </c>
      <c r="P40" s="50" t="s">
        <v>70</v>
      </c>
      <c r="Q40" s="51">
        <v>1460</v>
      </c>
      <c r="AZ40" s="53" t="str">
        <f t="shared" si="7"/>
        <v>P01S1A38</v>
      </c>
      <c r="BA40" s="53">
        <v>1</v>
      </c>
      <c r="BB40" s="53">
        <v>1</v>
      </c>
      <c r="BC40" s="53">
        <v>38</v>
      </c>
      <c r="BD40" s="53">
        <v>28</v>
      </c>
      <c r="BF40" s="53" t="str">
        <f t="shared" si="4"/>
        <v>P01S1A38</v>
      </c>
      <c r="BG40" s="53">
        <v>1</v>
      </c>
      <c r="BH40" s="53">
        <v>1</v>
      </c>
      <c r="BI40" s="173">
        <v>38</v>
      </c>
      <c r="BJ40" s="173">
        <v>233</v>
      </c>
    </row>
    <row r="41" spans="1:62">
      <c r="A41" s="38" t="str">
        <f t="shared" si="5"/>
        <v>P06S1A54</v>
      </c>
      <c r="B41" s="45" t="s">
        <v>130</v>
      </c>
      <c r="C41" s="38">
        <v>6</v>
      </c>
      <c r="D41" s="38">
        <v>1</v>
      </c>
      <c r="E41" s="38">
        <v>54</v>
      </c>
      <c r="F41" s="38">
        <v>83</v>
      </c>
      <c r="H41" s="54" t="s">
        <v>70</v>
      </c>
      <c r="I41" s="51">
        <v>1090</v>
      </c>
      <c r="J41" s="55">
        <v>944</v>
      </c>
      <c r="L41" s="36" t="str">
        <f t="shared" si="6"/>
        <v>P1S1A39</v>
      </c>
      <c r="M41" s="49">
        <v>1</v>
      </c>
      <c r="N41" s="49">
        <v>1</v>
      </c>
      <c r="O41" s="49">
        <v>1</v>
      </c>
      <c r="P41" s="50" t="s">
        <v>71</v>
      </c>
      <c r="Q41" s="51">
        <v>1460</v>
      </c>
      <c r="AZ41" s="53" t="str">
        <f t="shared" si="7"/>
        <v>P01S1A39</v>
      </c>
      <c r="BA41" s="53">
        <v>1</v>
      </c>
      <c r="BB41" s="53">
        <v>1</v>
      </c>
      <c r="BC41" s="53">
        <v>39</v>
      </c>
      <c r="BD41" s="53">
        <v>28</v>
      </c>
      <c r="BF41" s="53" t="str">
        <f t="shared" si="4"/>
        <v>P01S1A39</v>
      </c>
      <c r="BG41" s="53">
        <v>1</v>
      </c>
      <c r="BH41" s="53">
        <v>1</v>
      </c>
      <c r="BI41" s="173">
        <v>39</v>
      </c>
      <c r="BJ41" s="173">
        <v>264</v>
      </c>
    </row>
    <row r="42" spans="1:62">
      <c r="A42" s="38" t="str">
        <f t="shared" si="5"/>
        <v>P06S1A55</v>
      </c>
      <c r="B42" s="45" t="s">
        <v>130</v>
      </c>
      <c r="C42" s="38">
        <v>6</v>
      </c>
      <c r="D42" s="38">
        <v>1</v>
      </c>
      <c r="E42" s="38">
        <v>55</v>
      </c>
      <c r="F42" s="38">
        <v>90</v>
      </c>
      <c r="H42" s="54" t="s">
        <v>71</v>
      </c>
      <c r="I42" s="51">
        <v>1219</v>
      </c>
      <c r="J42" s="55">
        <v>1053</v>
      </c>
      <c r="L42" s="36" t="str">
        <f t="shared" si="6"/>
        <v>P1S1A40</v>
      </c>
      <c r="M42" s="49">
        <v>1</v>
      </c>
      <c r="N42" s="49">
        <v>1</v>
      </c>
      <c r="O42" s="49">
        <v>1</v>
      </c>
      <c r="P42" s="50" t="s">
        <v>72</v>
      </c>
      <c r="Q42" s="51">
        <v>1856</v>
      </c>
      <c r="AZ42" s="53" t="str">
        <f t="shared" si="7"/>
        <v>P01S1A40</v>
      </c>
      <c r="BA42" s="53">
        <v>1</v>
      </c>
      <c r="BB42" s="53">
        <v>1</v>
      </c>
      <c r="BC42" s="53">
        <v>40</v>
      </c>
      <c r="BD42" s="53">
        <v>46</v>
      </c>
      <c r="BF42" s="53" t="str">
        <f t="shared" si="4"/>
        <v>P01S1A40</v>
      </c>
      <c r="BG42" s="53">
        <v>1</v>
      </c>
      <c r="BH42" s="53">
        <v>1</v>
      </c>
      <c r="BI42" s="173">
        <v>40</v>
      </c>
      <c r="BJ42" s="173">
        <v>269</v>
      </c>
    </row>
    <row r="43" spans="1:62">
      <c r="A43" s="38" t="str">
        <f t="shared" si="5"/>
        <v>P06S1A56</v>
      </c>
      <c r="B43" s="45" t="s">
        <v>130</v>
      </c>
      <c r="C43" s="38">
        <v>6</v>
      </c>
      <c r="D43" s="38">
        <v>1</v>
      </c>
      <c r="E43" s="38">
        <v>56</v>
      </c>
      <c r="F43" s="38">
        <v>99</v>
      </c>
      <c r="H43" s="54" t="s">
        <v>72</v>
      </c>
      <c r="I43" s="51">
        <v>1362</v>
      </c>
      <c r="J43" s="55">
        <v>1173</v>
      </c>
      <c r="L43" s="36" t="str">
        <f t="shared" si="6"/>
        <v>P1S1A41</v>
      </c>
      <c r="M43" s="49">
        <v>1</v>
      </c>
      <c r="N43" s="49">
        <v>1</v>
      </c>
      <c r="O43" s="49">
        <v>1</v>
      </c>
      <c r="P43" s="50" t="s">
        <v>73</v>
      </c>
      <c r="Q43" s="51">
        <v>1856</v>
      </c>
      <c r="AZ43" s="53" t="str">
        <f t="shared" si="7"/>
        <v>P01S1A41</v>
      </c>
      <c r="BA43" s="53">
        <v>1</v>
      </c>
      <c r="BB43" s="53">
        <v>1</v>
      </c>
      <c r="BC43" s="53">
        <v>41</v>
      </c>
      <c r="BD43" s="53">
        <v>47</v>
      </c>
      <c r="BF43" s="53" t="str">
        <f t="shared" si="4"/>
        <v>P01S1A41</v>
      </c>
      <c r="BG43" s="53">
        <v>1</v>
      </c>
      <c r="BH43" s="53">
        <v>1</v>
      </c>
      <c r="BI43" s="173">
        <v>41</v>
      </c>
      <c r="BJ43" s="173">
        <v>306</v>
      </c>
    </row>
    <row r="44" spans="1:62">
      <c r="A44" s="38" t="str">
        <f t="shared" si="5"/>
        <v>P06S1A57</v>
      </c>
      <c r="B44" s="45" t="s">
        <v>130</v>
      </c>
      <c r="C44" s="38">
        <v>6</v>
      </c>
      <c r="D44" s="38">
        <v>1</v>
      </c>
      <c r="E44" s="38">
        <v>57</v>
      </c>
      <c r="F44" s="38">
        <v>107</v>
      </c>
      <c r="H44" s="54" t="s">
        <v>73</v>
      </c>
      <c r="I44" s="51">
        <v>1522</v>
      </c>
      <c r="J44" s="55">
        <v>1307</v>
      </c>
      <c r="L44" s="36" t="str">
        <f t="shared" si="6"/>
        <v>P1S1A42</v>
      </c>
      <c r="M44" s="49">
        <v>1</v>
      </c>
      <c r="N44" s="49">
        <v>1</v>
      </c>
      <c r="O44" s="49">
        <v>1</v>
      </c>
      <c r="P44" s="50" t="s">
        <v>74</v>
      </c>
      <c r="Q44" s="51">
        <v>1856</v>
      </c>
      <c r="AZ44" s="53" t="str">
        <f t="shared" si="7"/>
        <v>P01S1A42</v>
      </c>
      <c r="BA44" s="53">
        <v>1</v>
      </c>
      <c r="BB44" s="53">
        <v>1</v>
      </c>
      <c r="BC44" s="53">
        <v>42</v>
      </c>
      <c r="BD44" s="53">
        <v>47</v>
      </c>
      <c r="BF44" s="53" t="str">
        <f t="shared" si="4"/>
        <v>P01S1A42</v>
      </c>
      <c r="BG44" s="53">
        <v>1</v>
      </c>
      <c r="BH44" s="53">
        <v>1</v>
      </c>
      <c r="BI44" s="173">
        <v>42</v>
      </c>
      <c r="BJ44" s="173">
        <v>347</v>
      </c>
    </row>
    <row r="45" spans="1:62">
      <c r="A45" s="38" t="str">
        <f t="shared" si="5"/>
        <v>P06S1A58</v>
      </c>
      <c r="B45" s="45" t="s">
        <v>130</v>
      </c>
      <c r="C45" s="38">
        <v>6</v>
      </c>
      <c r="D45" s="38">
        <v>1</v>
      </c>
      <c r="E45" s="38">
        <v>58</v>
      </c>
      <c r="F45" s="38">
        <v>117</v>
      </c>
      <c r="H45" s="54" t="s">
        <v>74</v>
      </c>
      <c r="I45" s="51">
        <v>1701</v>
      </c>
      <c r="J45" s="55">
        <v>1458</v>
      </c>
      <c r="L45" s="36" t="str">
        <f t="shared" si="6"/>
        <v>P1S1A43</v>
      </c>
      <c r="M45" s="49">
        <v>1</v>
      </c>
      <c r="N45" s="49">
        <v>1</v>
      </c>
      <c r="O45" s="49">
        <v>1</v>
      </c>
      <c r="P45" s="50" t="s">
        <v>75</v>
      </c>
      <c r="Q45" s="51">
        <v>1856</v>
      </c>
      <c r="AZ45" s="53" t="str">
        <f t="shared" si="7"/>
        <v>P01S1A43</v>
      </c>
      <c r="BA45" s="53">
        <v>1</v>
      </c>
      <c r="BB45" s="53">
        <v>1</v>
      </c>
      <c r="BC45" s="53">
        <v>43</v>
      </c>
      <c r="BD45" s="53">
        <v>48</v>
      </c>
      <c r="BF45" s="53" t="str">
        <f t="shared" si="4"/>
        <v>P01S1A43</v>
      </c>
      <c r="BG45" s="53">
        <v>1</v>
      </c>
      <c r="BH45" s="53">
        <v>1</v>
      </c>
      <c r="BI45" s="173">
        <v>43</v>
      </c>
      <c r="BJ45" s="173">
        <v>381</v>
      </c>
    </row>
    <row r="46" spans="1:62">
      <c r="A46" s="38" t="str">
        <f t="shared" si="5"/>
        <v>P06S1A59</v>
      </c>
      <c r="B46" s="45" t="s">
        <v>130</v>
      </c>
      <c r="C46" s="38">
        <v>6</v>
      </c>
      <c r="D46" s="38">
        <v>1</v>
      </c>
      <c r="E46" s="38">
        <v>59</v>
      </c>
      <c r="F46" s="38">
        <v>128</v>
      </c>
      <c r="H46" s="54" t="s">
        <v>75</v>
      </c>
      <c r="I46" s="51">
        <v>1862</v>
      </c>
      <c r="J46" s="55">
        <v>1574</v>
      </c>
      <c r="L46" s="36" t="str">
        <f t="shared" si="6"/>
        <v>P1S1A44</v>
      </c>
      <c r="M46" s="49">
        <v>1</v>
      </c>
      <c r="N46" s="49">
        <v>1</v>
      </c>
      <c r="O46" s="49">
        <v>1</v>
      </c>
      <c r="P46" s="50" t="s">
        <v>76</v>
      </c>
      <c r="Q46" s="51">
        <v>1856</v>
      </c>
      <c r="AZ46" s="53" t="str">
        <f t="shared" si="7"/>
        <v>P01S1A44</v>
      </c>
      <c r="BA46" s="53">
        <v>1</v>
      </c>
      <c r="BB46" s="53">
        <v>1</v>
      </c>
      <c r="BC46" s="53">
        <v>44</v>
      </c>
      <c r="BD46" s="53">
        <v>48</v>
      </c>
      <c r="BF46" s="53" t="str">
        <f t="shared" si="4"/>
        <v>P01S1A44</v>
      </c>
      <c r="BG46" s="53">
        <v>1</v>
      </c>
      <c r="BH46" s="53">
        <v>1</v>
      </c>
      <c r="BI46" s="173">
        <v>44</v>
      </c>
      <c r="BJ46" s="173">
        <v>418</v>
      </c>
    </row>
    <row r="47" spans="1:62">
      <c r="A47" s="38" t="str">
        <f t="shared" si="5"/>
        <v>P06S1A60</v>
      </c>
      <c r="B47" s="45" t="s">
        <v>130</v>
      </c>
      <c r="C47" s="38">
        <v>6</v>
      </c>
      <c r="D47" s="38">
        <v>1</v>
      </c>
      <c r="E47" s="38">
        <v>60</v>
      </c>
      <c r="F47" s="38">
        <v>140</v>
      </c>
      <c r="H47" s="54" t="s">
        <v>76</v>
      </c>
      <c r="I47" s="51">
        <v>2040</v>
      </c>
      <c r="J47" s="55">
        <v>1702</v>
      </c>
      <c r="L47" s="36" t="str">
        <f t="shared" si="6"/>
        <v>P1S1A45</v>
      </c>
      <c r="M47" s="49">
        <v>1</v>
      </c>
      <c r="N47" s="49">
        <v>1</v>
      </c>
      <c r="O47" s="49">
        <v>1</v>
      </c>
      <c r="P47" s="50" t="s">
        <v>77</v>
      </c>
      <c r="Q47" s="51">
        <v>2261</v>
      </c>
      <c r="AZ47" s="53" t="str">
        <f t="shared" si="7"/>
        <v>P01S1A45</v>
      </c>
      <c r="BA47" s="53">
        <v>1</v>
      </c>
      <c r="BB47" s="53">
        <v>1</v>
      </c>
      <c r="BC47" s="53">
        <v>45</v>
      </c>
      <c r="BD47" s="53">
        <v>73</v>
      </c>
      <c r="BF47" s="53" t="str">
        <f t="shared" si="4"/>
        <v>P01S1A45</v>
      </c>
      <c r="BG47" s="53">
        <v>1</v>
      </c>
      <c r="BH47" s="53">
        <v>1</v>
      </c>
      <c r="BI47" s="173">
        <v>45</v>
      </c>
      <c r="BJ47" s="173">
        <v>468</v>
      </c>
    </row>
    <row r="48" spans="1:62">
      <c r="A48" s="38" t="str">
        <f t="shared" si="5"/>
        <v>P06S1A61</v>
      </c>
      <c r="B48" s="45" t="s">
        <v>130</v>
      </c>
      <c r="C48" s="38">
        <v>6</v>
      </c>
      <c r="D48" s="38">
        <v>1</v>
      </c>
      <c r="E48" s="38">
        <v>61</v>
      </c>
      <c r="F48" s="38">
        <v>153</v>
      </c>
      <c r="H48" s="54" t="s">
        <v>77</v>
      </c>
      <c r="I48" s="51">
        <v>2235</v>
      </c>
      <c r="J48" s="55">
        <v>1840</v>
      </c>
      <c r="L48" s="36" t="str">
        <f t="shared" si="6"/>
        <v>P1S1A46</v>
      </c>
      <c r="M48" s="49">
        <v>1</v>
      </c>
      <c r="N48" s="49">
        <v>1</v>
      </c>
      <c r="O48" s="49">
        <v>1</v>
      </c>
      <c r="P48" s="50" t="s">
        <v>78</v>
      </c>
      <c r="Q48" s="51">
        <v>2261</v>
      </c>
      <c r="AZ48" s="53" t="str">
        <f t="shared" si="7"/>
        <v>P01S1A46</v>
      </c>
      <c r="BA48" s="53">
        <v>1</v>
      </c>
      <c r="BB48" s="53">
        <v>1</v>
      </c>
      <c r="BC48" s="53">
        <v>46</v>
      </c>
      <c r="BD48" s="53">
        <v>74</v>
      </c>
      <c r="BF48" s="53" t="str">
        <f t="shared" si="4"/>
        <v>P01S1A46</v>
      </c>
      <c r="BG48" s="53">
        <v>1</v>
      </c>
      <c r="BH48" s="53">
        <v>1</v>
      </c>
      <c r="BI48" s="173">
        <v>46</v>
      </c>
      <c r="BJ48" s="173">
        <v>514</v>
      </c>
    </row>
    <row r="49" spans="1:62">
      <c r="A49" s="38" t="str">
        <f t="shared" si="5"/>
        <v>P06S1A62</v>
      </c>
      <c r="B49" s="45" t="s">
        <v>130</v>
      </c>
      <c r="C49" s="38">
        <v>6</v>
      </c>
      <c r="D49" s="38">
        <v>1</v>
      </c>
      <c r="E49" s="38">
        <v>62</v>
      </c>
      <c r="F49" s="38">
        <v>167</v>
      </c>
      <c r="H49" s="54" t="s">
        <v>78</v>
      </c>
      <c r="I49" s="51">
        <v>2451</v>
      </c>
      <c r="J49" s="55">
        <v>1989</v>
      </c>
      <c r="L49" s="36" t="str">
        <f t="shared" si="6"/>
        <v>P1S1A47</v>
      </c>
      <c r="M49" s="49">
        <v>1</v>
      </c>
      <c r="N49" s="49">
        <v>1</v>
      </c>
      <c r="O49" s="49">
        <v>1</v>
      </c>
      <c r="P49" s="50" t="s">
        <v>79</v>
      </c>
      <c r="Q49" s="51">
        <v>2261</v>
      </c>
      <c r="AZ49" s="53" t="str">
        <f t="shared" si="7"/>
        <v>P01S1A47</v>
      </c>
      <c r="BA49" s="53">
        <v>1</v>
      </c>
      <c r="BB49" s="53">
        <v>1</v>
      </c>
      <c r="BC49" s="53">
        <v>47</v>
      </c>
      <c r="BD49" s="53">
        <v>75</v>
      </c>
      <c r="BF49" s="53" t="str">
        <f t="shared" si="4"/>
        <v>P01S1A47</v>
      </c>
      <c r="BG49" s="53">
        <v>1</v>
      </c>
      <c r="BH49" s="53">
        <v>1</v>
      </c>
      <c r="BI49" s="173">
        <v>47</v>
      </c>
      <c r="BJ49" s="173">
        <v>565</v>
      </c>
    </row>
    <row r="50" spans="1:62">
      <c r="A50" s="38" t="str">
        <f t="shared" si="5"/>
        <v>P06S1A63</v>
      </c>
      <c r="B50" s="45" t="s">
        <v>130</v>
      </c>
      <c r="C50" s="38">
        <v>6</v>
      </c>
      <c r="D50" s="38">
        <v>1</v>
      </c>
      <c r="E50" s="38">
        <v>63</v>
      </c>
      <c r="F50" s="38">
        <v>183</v>
      </c>
      <c r="H50" s="54" t="s">
        <v>79</v>
      </c>
      <c r="I50" s="51">
        <v>2686</v>
      </c>
      <c r="J50" s="55">
        <v>2150</v>
      </c>
      <c r="L50" s="36" t="str">
        <f t="shared" si="6"/>
        <v>P1S1A48</v>
      </c>
      <c r="M50" s="49">
        <v>1</v>
      </c>
      <c r="N50" s="49">
        <v>1</v>
      </c>
      <c r="O50" s="49">
        <v>1</v>
      </c>
      <c r="P50" s="50" t="s">
        <v>80</v>
      </c>
      <c r="Q50" s="51">
        <v>2261</v>
      </c>
      <c r="AZ50" s="53" t="str">
        <f t="shared" si="7"/>
        <v>P01S1A48</v>
      </c>
      <c r="BA50" s="53">
        <v>1</v>
      </c>
      <c r="BB50" s="53">
        <v>1</v>
      </c>
      <c r="BC50" s="53">
        <v>48</v>
      </c>
      <c r="BD50" s="53">
        <v>75</v>
      </c>
      <c r="BF50" s="53" t="str">
        <f t="shared" si="4"/>
        <v>P01S1A48</v>
      </c>
      <c r="BG50" s="53">
        <v>1</v>
      </c>
      <c r="BH50" s="53">
        <v>1</v>
      </c>
      <c r="BI50" s="173">
        <v>48</v>
      </c>
      <c r="BJ50" s="173">
        <v>613</v>
      </c>
    </row>
    <row r="51" spans="1:62">
      <c r="A51" s="38" t="str">
        <f t="shared" si="5"/>
        <v>P06S1A64</v>
      </c>
      <c r="B51" s="45" t="s">
        <v>130</v>
      </c>
      <c r="C51" s="38">
        <v>6</v>
      </c>
      <c r="D51" s="38">
        <v>1</v>
      </c>
      <c r="E51" s="38">
        <v>64</v>
      </c>
      <c r="F51" s="38">
        <v>200</v>
      </c>
      <c r="H51" s="54" t="s">
        <v>80</v>
      </c>
      <c r="I51" s="51">
        <v>2920</v>
      </c>
      <c r="J51" s="55">
        <v>2280</v>
      </c>
      <c r="L51" s="36" t="str">
        <f t="shared" si="6"/>
        <v>P1S1A49</v>
      </c>
      <c r="M51" s="49">
        <v>1</v>
      </c>
      <c r="N51" s="49">
        <v>1</v>
      </c>
      <c r="O51" s="49">
        <v>1</v>
      </c>
      <c r="P51" s="50" t="s">
        <v>81</v>
      </c>
      <c r="Q51" s="51">
        <v>2261</v>
      </c>
      <c r="AZ51" s="53" t="str">
        <f t="shared" si="7"/>
        <v>P01S1A49</v>
      </c>
      <c r="BA51" s="53">
        <v>1</v>
      </c>
      <c r="BB51" s="53">
        <v>1</v>
      </c>
      <c r="BC51" s="53">
        <v>49</v>
      </c>
      <c r="BD51" s="53">
        <v>76</v>
      </c>
      <c r="BF51" s="53" t="str">
        <f t="shared" si="4"/>
        <v>P01S1A49</v>
      </c>
      <c r="BG51" s="53">
        <v>1</v>
      </c>
      <c r="BH51" s="53">
        <v>1</v>
      </c>
      <c r="BI51" s="173">
        <v>49</v>
      </c>
      <c r="BJ51" s="173">
        <v>655</v>
      </c>
    </row>
    <row r="52" spans="1:62">
      <c r="A52" s="38" t="str">
        <f t="shared" si="5"/>
        <v>P06S1A65</v>
      </c>
      <c r="B52" s="45" t="s">
        <v>130</v>
      </c>
      <c r="C52" s="38">
        <v>6</v>
      </c>
      <c r="D52" s="38">
        <v>1</v>
      </c>
      <c r="E52" s="38">
        <v>65</v>
      </c>
      <c r="F52" s="38">
        <v>222</v>
      </c>
      <c r="H52" s="54" t="s">
        <v>81</v>
      </c>
      <c r="I52" s="51">
        <v>3173</v>
      </c>
      <c r="J52" s="55">
        <v>2418</v>
      </c>
      <c r="L52" s="36" t="str">
        <f t="shared" si="6"/>
        <v>P1S1A50</v>
      </c>
      <c r="M52" s="49">
        <v>1</v>
      </c>
      <c r="N52" s="49">
        <v>1</v>
      </c>
      <c r="O52" s="49">
        <v>1</v>
      </c>
      <c r="P52" s="50" t="s">
        <v>82</v>
      </c>
      <c r="Q52" s="51">
        <v>2728</v>
      </c>
      <c r="AZ52" s="53" t="str">
        <f t="shared" si="7"/>
        <v>P01S1A50</v>
      </c>
      <c r="BA52" s="53">
        <v>1</v>
      </c>
      <c r="BB52" s="53">
        <v>1</v>
      </c>
      <c r="BC52" s="53">
        <v>50</v>
      </c>
      <c r="BD52" s="53">
        <v>111</v>
      </c>
      <c r="BF52" s="53" t="str">
        <f t="shared" si="4"/>
        <v>P01S1A50</v>
      </c>
      <c r="BG52" s="53">
        <v>1</v>
      </c>
      <c r="BH52" s="53">
        <v>1</v>
      </c>
      <c r="BI52" s="173">
        <v>50</v>
      </c>
      <c r="BJ52" s="173">
        <v>706</v>
      </c>
    </row>
    <row r="53" spans="1:62">
      <c r="A53" s="38" t="str">
        <f t="shared" si="5"/>
        <v>P06S2A15</v>
      </c>
      <c r="B53" s="45" t="s">
        <v>130</v>
      </c>
      <c r="C53" s="38">
        <v>6</v>
      </c>
      <c r="D53" s="38">
        <v>2</v>
      </c>
      <c r="E53" s="38">
        <v>15</v>
      </c>
      <c r="F53" s="38">
        <v>3</v>
      </c>
      <c r="H53" s="54" t="s">
        <v>82</v>
      </c>
      <c r="I53" s="51">
        <v>3450</v>
      </c>
      <c r="J53" s="55">
        <v>2563</v>
      </c>
      <c r="L53" s="36" t="str">
        <f t="shared" si="6"/>
        <v>P1S1A51</v>
      </c>
      <c r="M53" s="49">
        <v>1</v>
      </c>
      <c r="N53" s="49">
        <v>1</v>
      </c>
      <c r="O53" s="49">
        <v>1</v>
      </c>
      <c r="P53" s="50" t="s">
        <v>83</v>
      </c>
      <c r="Q53" s="51">
        <v>2728</v>
      </c>
      <c r="AZ53" s="53" t="str">
        <f t="shared" si="7"/>
        <v>P01S1A51</v>
      </c>
      <c r="BA53" s="53">
        <v>1</v>
      </c>
      <c r="BB53" s="53">
        <v>1</v>
      </c>
      <c r="BC53" s="53">
        <v>51</v>
      </c>
      <c r="BD53" s="53">
        <v>112</v>
      </c>
      <c r="BF53" s="53" t="str">
        <f t="shared" si="4"/>
        <v>P01S1A51</v>
      </c>
      <c r="BG53" s="53">
        <v>1</v>
      </c>
      <c r="BH53" s="53">
        <v>1</v>
      </c>
      <c r="BI53" s="173">
        <v>51</v>
      </c>
      <c r="BJ53" s="173">
        <v>760</v>
      </c>
    </row>
    <row r="54" spans="1:62">
      <c r="A54" s="38" t="str">
        <f t="shared" si="5"/>
        <v>P06S2A16</v>
      </c>
      <c r="B54" s="45" t="s">
        <v>130</v>
      </c>
      <c r="C54" s="38">
        <v>6</v>
      </c>
      <c r="D54" s="38">
        <v>2</v>
      </c>
      <c r="E54" s="38">
        <v>16</v>
      </c>
      <c r="F54" s="38">
        <v>4</v>
      </c>
      <c r="H54" s="54" t="s">
        <v>83</v>
      </c>
      <c r="I54" s="51">
        <v>3749</v>
      </c>
      <c r="J54" s="55">
        <v>2720</v>
      </c>
      <c r="L54" s="36" t="str">
        <f t="shared" si="6"/>
        <v>P1S1A52</v>
      </c>
      <c r="M54" s="49">
        <v>1</v>
      </c>
      <c r="N54" s="49">
        <v>1</v>
      </c>
      <c r="O54" s="49">
        <v>1</v>
      </c>
      <c r="P54" s="50" t="s">
        <v>84</v>
      </c>
      <c r="Q54" s="51">
        <v>2728</v>
      </c>
      <c r="AZ54" s="53" t="str">
        <f t="shared" si="7"/>
        <v>P01S1A52</v>
      </c>
      <c r="BA54" s="53">
        <v>1</v>
      </c>
      <c r="BB54" s="53">
        <v>1</v>
      </c>
      <c r="BC54" s="53">
        <v>52</v>
      </c>
      <c r="BD54" s="53">
        <v>112</v>
      </c>
      <c r="BF54" s="53" t="str">
        <f t="shared" si="4"/>
        <v>P01S1A52</v>
      </c>
      <c r="BG54" s="53">
        <v>1</v>
      </c>
      <c r="BH54" s="53">
        <v>1</v>
      </c>
      <c r="BI54" s="173">
        <v>52</v>
      </c>
      <c r="BJ54" s="173">
        <v>818</v>
      </c>
    </row>
    <row r="55" spans="1:62">
      <c r="A55" s="38" t="str">
        <f t="shared" si="5"/>
        <v>P06S2A17</v>
      </c>
      <c r="B55" s="45" t="s">
        <v>130</v>
      </c>
      <c r="C55" s="38">
        <v>6</v>
      </c>
      <c r="D55" s="38">
        <v>2</v>
      </c>
      <c r="E55" s="38">
        <v>17</v>
      </c>
      <c r="F55" s="38">
        <v>4</v>
      </c>
      <c r="H55" s="54" t="s">
        <v>84</v>
      </c>
      <c r="I55" s="51">
        <v>4072</v>
      </c>
      <c r="J55" s="55">
        <v>2886</v>
      </c>
      <c r="L55" s="36" t="str">
        <f t="shared" si="6"/>
        <v>P1S1A53</v>
      </c>
      <c r="M55" s="49">
        <v>1</v>
      </c>
      <c r="N55" s="49">
        <v>1</v>
      </c>
      <c r="O55" s="49">
        <v>1</v>
      </c>
      <c r="P55" s="50" t="s">
        <v>85</v>
      </c>
      <c r="Q55" s="51">
        <v>2728</v>
      </c>
      <c r="AZ55" s="53" t="str">
        <f t="shared" si="7"/>
        <v>P01S1A53</v>
      </c>
      <c r="BA55" s="53">
        <v>1</v>
      </c>
      <c r="BB55" s="53">
        <v>1</v>
      </c>
      <c r="BC55" s="53">
        <v>53</v>
      </c>
      <c r="BD55" s="53">
        <v>113</v>
      </c>
      <c r="BF55" s="53" t="str">
        <f t="shared" si="4"/>
        <v>P01S1A53</v>
      </c>
      <c r="BG55" s="53">
        <v>1</v>
      </c>
      <c r="BH55" s="53">
        <v>1</v>
      </c>
      <c r="BI55" s="173">
        <v>53</v>
      </c>
      <c r="BJ55" s="173">
        <v>862</v>
      </c>
    </row>
    <row r="56" spans="1:62">
      <c r="A56" s="38" t="str">
        <f t="shared" si="5"/>
        <v>P06S2A18</v>
      </c>
      <c r="B56" s="45" t="s">
        <v>130</v>
      </c>
      <c r="C56" s="38">
        <v>6</v>
      </c>
      <c r="D56" s="38">
        <v>2</v>
      </c>
      <c r="E56" s="38">
        <v>18</v>
      </c>
      <c r="F56" s="38">
        <v>4</v>
      </c>
      <c r="H56" s="54" t="s">
        <v>85</v>
      </c>
      <c r="I56" s="51">
        <v>4381</v>
      </c>
      <c r="J56" s="55">
        <v>3048</v>
      </c>
      <c r="L56" s="36" t="str">
        <f t="shared" si="6"/>
        <v>P1S1A54</v>
      </c>
      <c r="M56" s="49">
        <v>1</v>
      </c>
      <c r="N56" s="49">
        <v>1</v>
      </c>
      <c r="O56" s="49">
        <v>1</v>
      </c>
      <c r="P56" s="50" t="s">
        <v>86</v>
      </c>
      <c r="Q56" s="51">
        <v>2728</v>
      </c>
      <c r="AZ56" s="53" t="str">
        <f t="shared" si="7"/>
        <v>P01S1A54</v>
      </c>
      <c r="BA56" s="53">
        <v>1</v>
      </c>
      <c r="BB56" s="53">
        <v>1</v>
      </c>
      <c r="BC56" s="53">
        <v>54</v>
      </c>
      <c r="BD56" s="53">
        <v>114</v>
      </c>
      <c r="BF56" s="53" t="str">
        <f t="shared" si="4"/>
        <v>P01S1A54</v>
      </c>
      <c r="BG56" s="53">
        <v>1</v>
      </c>
      <c r="BH56" s="53">
        <v>1</v>
      </c>
      <c r="BI56" s="173">
        <v>54</v>
      </c>
      <c r="BJ56" s="173">
        <v>908</v>
      </c>
    </row>
    <row r="57" spans="1:62">
      <c r="A57" s="38" t="str">
        <f t="shared" si="5"/>
        <v>P06S2A19</v>
      </c>
      <c r="B57" s="45" t="s">
        <v>130</v>
      </c>
      <c r="C57" s="38">
        <v>6</v>
      </c>
      <c r="D57" s="38">
        <v>2</v>
      </c>
      <c r="E57" s="38">
        <v>19</v>
      </c>
      <c r="F57" s="38">
        <v>4</v>
      </c>
      <c r="H57" s="54" t="s">
        <v>86</v>
      </c>
      <c r="I57" s="51">
        <v>4714</v>
      </c>
      <c r="J57" s="55">
        <v>3221</v>
      </c>
      <c r="L57" s="36" t="str">
        <f t="shared" si="6"/>
        <v>P1S1A55</v>
      </c>
      <c r="M57" s="49">
        <v>1</v>
      </c>
      <c r="N57" s="49">
        <v>1</v>
      </c>
      <c r="O57" s="49">
        <v>1</v>
      </c>
      <c r="P57" s="50" t="s">
        <v>87</v>
      </c>
      <c r="Q57" s="51">
        <v>3336</v>
      </c>
      <c r="AZ57" s="53" t="str">
        <f t="shared" si="7"/>
        <v>P01S1A55</v>
      </c>
      <c r="BA57" s="53">
        <v>1</v>
      </c>
      <c r="BB57" s="53">
        <v>1</v>
      </c>
      <c r="BC57" s="53">
        <v>55</v>
      </c>
      <c r="BD57" s="53">
        <v>158</v>
      </c>
      <c r="BF57" s="53" t="str">
        <f t="shared" si="4"/>
        <v>P01S1A55</v>
      </c>
      <c r="BG57" s="53">
        <v>1</v>
      </c>
      <c r="BH57" s="53">
        <v>1</v>
      </c>
      <c r="BI57" s="173">
        <v>55</v>
      </c>
      <c r="BJ57" s="173">
        <v>957</v>
      </c>
    </row>
    <row r="58" spans="1:62">
      <c r="A58" s="38" t="str">
        <f t="shared" si="5"/>
        <v>P06S2A20</v>
      </c>
      <c r="B58" s="45" t="s">
        <v>130</v>
      </c>
      <c r="C58" s="38">
        <v>6</v>
      </c>
      <c r="D58" s="38">
        <v>2</v>
      </c>
      <c r="E58" s="38">
        <v>20</v>
      </c>
      <c r="F58" s="38">
        <v>4</v>
      </c>
      <c r="H58" s="54" t="s">
        <v>87</v>
      </c>
      <c r="I58" s="51">
        <v>5074</v>
      </c>
      <c r="J58" s="55">
        <v>3403</v>
      </c>
      <c r="L58" s="36" t="str">
        <f t="shared" si="6"/>
        <v>P1S1A56</v>
      </c>
      <c r="M58" s="49">
        <v>1</v>
      </c>
      <c r="N58" s="49">
        <v>1</v>
      </c>
      <c r="O58" s="49">
        <v>1</v>
      </c>
      <c r="P58" s="50" t="s">
        <v>88</v>
      </c>
      <c r="Q58" s="51">
        <v>3336</v>
      </c>
      <c r="AZ58" s="53" t="str">
        <f t="shared" si="7"/>
        <v>P01S1A56</v>
      </c>
      <c r="BA58" s="53">
        <v>1</v>
      </c>
      <c r="BB58" s="53">
        <v>1</v>
      </c>
      <c r="BC58" s="53">
        <v>56</v>
      </c>
      <c r="BD58" s="53">
        <v>159</v>
      </c>
      <c r="BF58" s="53" t="str">
        <f t="shared" si="4"/>
        <v>P01S1A56</v>
      </c>
      <c r="BG58" s="53">
        <v>1</v>
      </c>
      <c r="BH58" s="53">
        <v>1</v>
      </c>
      <c r="BI58" s="173">
        <v>56</v>
      </c>
      <c r="BJ58" s="173">
        <v>1008</v>
      </c>
    </row>
    <row r="59" spans="1:62">
      <c r="A59" s="38" t="str">
        <f t="shared" si="5"/>
        <v>P06S2A21</v>
      </c>
      <c r="B59" s="45" t="s">
        <v>130</v>
      </c>
      <c r="C59" s="38">
        <v>6</v>
      </c>
      <c r="D59" s="38">
        <v>2</v>
      </c>
      <c r="E59" s="38">
        <v>21</v>
      </c>
      <c r="F59" s="38">
        <v>4</v>
      </c>
      <c r="H59" s="54" t="s">
        <v>88</v>
      </c>
      <c r="I59" s="51">
        <v>5461</v>
      </c>
      <c r="J59" s="55">
        <v>3598</v>
      </c>
      <c r="L59" s="36" t="str">
        <f t="shared" si="6"/>
        <v>P1S1A57</v>
      </c>
      <c r="M59" s="49">
        <v>1</v>
      </c>
      <c r="N59" s="49">
        <v>1</v>
      </c>
      <c r="O59" s="49">
        <v>1</v>
      </c>
      <c r="P59" s="50" t="s">
        <v>89</v>
      </c>
      <c r="Q59" s="51">
        <v>3336</v>
      </c>
      <c r="AZ59" s="53" t="str">
        <f t="shared" si="7"/>
        <v>P01S1A57</v>
      </c>
      <c r="BA59" s="53">
        <v>1</v>
      </c>
      <c r="BB59" s="53">
        <v>1</v>
      </c>
      <c r="BC59" s="53">
        <v>57</v>
      </c>
      <c r="BD59" s="53">
        <v>160</v>
      </c>
      <c r="BF59" s="53" t="str">
        <f t="shared" si="4"/>
        <v>P01S1A57</v>
      </c>
      <c r="BG59" s="53">
        <v>1</v>
      </c>
      <c r="BH59" s="53">
        <v>1</v>
      </c>
      <c r="BI59" s="173">
        <v>57</v>
      </c>
      <c r="BJ59" s="173">
        <v>1061</v>
      </c>
    </row>
    <row r="60" spans="1:62">
      <c r="A60" s="38" t="str">
        <f t="shared" si="5"/>
        <v>P06S2A22</v>
      </c>
      <c r="B60" s="45" t="s">
        <v>130</v>
      </c>
      <c r="C60" s="38">
        <v>6</v>
      </c>
      <c r="D60" s="38">
        <v>2</v>
      </c>
      <c r="E60" s="38">
        <v>22</v>
      </c>
      <c r="F60" s="38">
        <v>4</v>
      </c>
      <c r="H60" s="54" t="s">
        <v>89</v>
      </c>
      <c r="I60" s="51">
        <v>5880</v>
      </c>
      <c r="J60" s="55">
        <v>3805</v>
      </c>
      <c r="L60" s="36" t="str">
        <f t="shared" si="6"/>
        <v>P1S1A58</v>
      </c>
      <c r="M60" s="49">
        <v>1</v>
      </c>
      <c r="N60" s="49">
        <v>1</v>
      </c>
      <c r="O60" s="49">
        <v>1</v>
      </c>
      <c r="P60" s="50" t="s">
        <v>90</v>
      </c>
      <c r="Q60" s="51">
        <v>3336</v>
      </c>
      <c r="AZ60" s="53" t="str">
        <f t="shared" si="7"/>
        <v>P01S1A58</v>
      </c>
      <c r="BA60" s="53">
        <v>1</v>
      </c>
      <c r="BB60" s="53">
        <v>1</v>
      </c>
      <c r="BC60" s="53">
        <v>58</v>
      </c>
      <c r="BD60" s="53">
        <v>161</v>
      </c>
      <c r="BF60" s="53" t="str">
        <f t="shared" si="4"/>
        <v>P01S1A58</v>
      </c>
      <c r="BG60" s="53">
        <v>1</v>
      </c>
      <c r="BH60" s="53">
        <v>1</v>
      </c>
      <c r="BI60" s="173">
        <v>58</v>
      </c>
      <c r="BJ60" s="173">
        <v>1121</v>
      </c>
    </row>
    <row r="61" spans="1:62">
      <c r="A61" s="38" t="str">
        <f t="shared" si="5"/>
        <v>P06S2A23</v>
      </c>
      <c r="B61" s="45" t="s">
        <v>130</v>
      </c>
      <c r="C61" s="38">
        <v>6</v>
      </c>
      <c r="D61" s="38">
        <v>2</v>
      </c>
      <c r="E61" s="38">
        <v>23</v>
      </c>
      <c r="F61" s="38">
        <v>4</v>
      </c>
      <c r="H61" s="54" t="s">
        <v>90</v>
      </c>
      <c r="I61" s="51">
        <v>6270</v>
      </c>
      <c r="J61" s="55">
        <v>4016</v>
      </c>
      <c r="L61" s="36" t="str">
        <f t="shared" si="6"/>
        <v>P1S1A59</v>
      </c>
      <c r="M61" s="49">
        <v>1</v>
      </c>
      <c r="N61" s="49">
        <v>1</v>
      </c>
      <c r="O61" s="49">
        <v>1</v>
      </c>
      <c r="P61" s="50" t="s">
        <v>91</v>
      </c>
      <c r="Q61" s="51">
        <v>3336</v>
      </c>
      <c r="AZ61" s="53" t="str">
        <f t="shared" si="7"/>
        <v>P01S1A59</v>
      </c>
      <c r="BA61" s="53">
        <v>1</v>
      </c>
      <c r="BB61" s="53">
        <v>1</v>
      </c>
      <c r="BC61" s="53">
        <v>59</v>
      </c>
      <c r="BD61" s="53">
        <v>162</v>
      </c>
      <c r="BF61" s="53" t="str">
        <f t="shared" si="4"/>
        <v>P01S1A59</v>
      </c>
      <c r="BG61" s="53">
        <v>1</v>
      </c>
      <c r="BH61" s="53">
        <v>1</v>
      </c>
      <c r="BI61" s="173">
        <v>59</v>
      </c>
      <c r="BJ61" s="173">
        <v>1185</v>
      </c>
    </row>
    <row r="62" spans="1:62">
      <c r="A62" s="38" t="str">
        <f t="shared" si="5"/>
        <v>P06S2A24</v>
      </c>
      <c r="B62" s="45" t="s">
        <v>130</v>
      </c>
      <c r="C62" s="38">
        <v>6</v>
      </c>
      <c r="D62" s="38">
        <v>2</v>
      </c>
      <c r="E62" s="38">
        <v>24</v>
      </c>
      <c r="F62" s="38">
        <v>5</v>
      </c>
      <c r="H62" s="54" t="s">
        <v>91</v>
      </c>
      <c r="I62" s="51">
        <v>6688</v>
      </c>
      <c r="J62" s="55">
        <v>4243</v>
      </c>
      <c r="L62" s="36" t="str">
        <f t="shared" si="6"/>
        <v>P1S1A60</v>
      </c>
      <c r="M62" s="49">
        <v>1</v>
      </c>
      <c r="N62" s="49">
        <v>1</v>
      </c>
      <c r="O62" s="49">
        <v>1</v>
      </c>
      <c r="P62" s="50" t="s">
        <v>92</v>
      </c>
      <c r="Q62" s="51">
        <v>3928</v>
      </c>
      <c r="AZ62" s="53" t="str">
        <f t="shared" si="7"/>
        <v>P01S1A60</v>
      </c>
      <c r="BA62" s="53">
        <v>1</v>
      </c>
      <c r="BB62" s="53">
        <v>1</v>
      </c>
      <c r="BC62" s="53">
        <v>60</v>
      </c>
      <c r="BD62" s="53">
        <v>219</v>
      </c>
      <c r="BF62" s="53" t="str">
        <f t="shared" si="4"/>
        <v>P01S1A60</v>
      </c>
      <c r="BG62" s="53">
        <v>1</v>
      </c>
      <c r="BH62" s="53">
        <v>1</v>
      </c>
      <c r="BI62" s="173">
        <v>60</v>
      </c>
      <c r="BJ62" s="173">
        <v>1252</v>
      </c>
    </row>
    <row r="63" spans="1:62">
      <c r="A63" s="38" t="str">
        <f t="shared" si="5"/>
        <v>P06S2A25</v>
      </c>
      <c r="B63" s="45" t="s">
        <v>130</v>
      </c>
      <c r="C63" s="38">
        <v>6</v>
      </c>
      <c r="D63" s="38">
        <v>2</v>
      </c>
      <c r="E63" s="38">
        <v>25</v>
      </c>
      <c r="F63" s="38">
        <v>5</v>
      </c>
      <c r="H63" s="54" t="s">
        <v>92</v>
      </c>
      <c r="I63" s="51">
        <v>7134</v>
      </c>
      <c r="J63" s="55">
        <v>4486</v>
      </c>
      <c r="L63" s="36" t="str">
        <f t="shared" si="6"/>
        <v>P1S1A61</v>
      </c>
      <c r="M63" s="49">
        <v>1</v>
      </c>
      <c r="N63" s="49">
        <v>1</v>
      </c>
      <c r="O63" s="49">
        <v>1</v>
      </c>
      <c r="P63" s="50" t="s">
        <v>93</v>
      </c>
      <c r="Q63" s="51">
        <v>3928</v>
      </c>
      <c r="AZ63" s="53" t="str">
        <f t="shared" si="7"/>
        <v>P01S1A61</v>
      </c>
      <c r="BA63" s="53">
        <v>1</v>
      </c>
      <c r="BB63" s="53">
        <v>1</v>
      </c>
      <c r="BC63" s="53">
        <v>61</v>
      </c>
      <c r="BD63" s="53">
        <v>220</v>
      </c>
      <c r="BF63" s="53" t="str">
        <f t="shared" si="4"/>
        <v>P01S1A61</v>
      </c>
      <c r="BG63" s="53">
        <v>1</v>
      </c>
      <c r="BH63" s="53">
        <v>1</v>
      </c>
      <c r="BI63" s="173">
        <v>61</v>
      </c>
      <c r="BJ63" s="173">
        <v>1323</v>
      </c>
    </row>
    <row r="64" spans="1:62">
      <c r="A64" s="38" t="str">
        <f t="shared" si="5"/>
        <v>P06S2A26</v>
      </c>
      <c r="B64" s="45" t="s">
        <v>130</v>
      </c>
      <c r="C64" s="38">
        <v>6</v>
      </c>
      <c r="D64" s="38">
        <v>2</v>
      </c>
      <c r="E64" s="38">
        <v>26</v>
      </c>
      <c r="F64" s="38">
        <v>6</v>
      </c>
      <c r="H64" s="54" t="s">
        <v>93</v>
      </c>
      <c r="I64" s="51">
        <v>7611</v>
      </c>
      <c r="J64" s="55">
        <v>4749</v>
      </c>
      <c r="L64" s="36" t="str">
        <f t="shared" si="6"/>
        <v>P1S1A62</v>
      </c>
      <c r="M64" s="49">
        <v>1</v>
      </c>
      <c r="N64" s="49">
        <v>1</v>
      </c>
      <c r="O64" s="49">
        <v>1</v>
      </c>
      <c r="P64" s="50" t="s">
        <v>94</v>
      </c>
      <c r="Q64" s="51">
        <v>3928</v>
      </c>
      <c r="AZ64" s="53" t="str">
        <f t="shared" si="7"/>
        <v>P01S1A62</v>
      </c>
      <c r="BA64" s="53">
        <v>1</v>
      </c>
      <c r="BB64" s="53">
        <v>1</v>
      </c>
      <c r="BC64" s="53">
        <v>62</v>
      </c>
      <c r="BD64" s="53">
        <v>222</v>
      </c>
      <c r="BF64" s="53" t="str">
        <f t="shared" si="4"/>
        <v>P01S1A62</v>
      </c>
      <c r="BG64" s="53">
        <v>1</v>
      </c>
      <c r="BH64" s="53">
        <v>1</v>
      </c>
      <c r="BI64" s="173">
        <v>62</v>
      </c>
      <c r="BJ64" s="173">
        <v>1398</v>
      </c>
    </row>
    <row r="65" spans="1:62">
      <c r="A65" s="38" t="str">
        <f t="shared" si="5"/>
        <v>P06S2A27</v>
      </c>
      <c r="B65" s="45" t="s">
        <v>130</v>
      </c>
      <c r="C65" s="38">
        <v>6</v>
      </c>
      <c r="D65" s="38">
        <v>2</v>
      </c>
      <c r="E65" s="38">
        <v>27</v>
      </c>
      <c r="F65" s="38">
        <v>6</v>
      </c>
      <c r="H65" s="54" t="s">
        <v>94</v>
      </c>
      <c r="I65" s="51">
        <v>8120</v>
      </c>
      <c r="J65" s="55">
        <v>5032</v>
      </c>
      <c r="L65" s="36" t="str">
        <f t="shared" si="6"/>
        <v>P1S1A63</v>
      </c>
      <c r="M65" s="49">
        <v>1</v>
      </c>
      <c r="N65" s="49">
        <v>1</v>
      </c>
      <c r="O65" s="49">
        <v>1</v>
      </c>
      <c r="P65" s="50" t="s">
        <v>95</v>
      </c>
      <c r="Q65" s="51">
        <v>3928</v>
      </c>
      <c r="AZ65" s="53" t="str">
        <f t="shared" si="7"/>
        <v>P01S1A63</v>
      </c>
      <c r="BA65" s="53">
        <v>1</v>
      </c>
      <c r="BB65" s="53">
        <v>1</v>
      </c>
      <c r="BC65" s="53">
        <v>63</v>
      </c>
      <c r="BD65" s="53">
        <v>223</v>
      </c>
      <c r="BF65" s="53" t="str">
        <f t="shared" si="4"/>
        <v>P01S1A63</v>
      </c>
      <c r="BG65" s="53">
        <v>1</v>
      </c>
      <c r="BH65" s="53">
        <v>1</v>
      </c>
      <c r="BI65" s="173">
        <v>63</v>
      </c>
      <c r="BJ65" s="173">
        <v>1469</v>
      </c>
    </row>
    <row r="66" spans="1:62">
      <c r="A66" s="38" t="str">
        <f t="shared" ref="A66:A97" si="8">"P"&amp;REPT("0",2-LEN(C66))&amp;C66&amp;"S"&amp;D66&amp;"A"&amp;REPT("0",2-LEN(E66))&amp;E66</f>
        <v>P06S2A28</v>
      </c>
      <c r="B66" s="45" t="s">
        <v>130</v>
      </c>
      <c r="C66" s="38">
        <v>6</v>
      </c>
      <c r="D66" s="38">
        <v>2</v>
      </c>
      <c r="E66" s="38">
        <v>28</v>
      </c>
      <c r="F66" s="38">
        <v>7</v>
      </c>
      <c r="H66" s="54" t="s">
        <v>95</v>
      </c>
      <c r="I66" s="51">
        <v>8619</v>
      </c>
      <c r="J66" s="55">
        <v>5323</v>
      </c>
      <c r="L66" s="36" t="str">
        <f t="shared" ref="L66:L97" si="9">"P"&amp;M66&amp;"S"&amp;O66&amp;"A"&amp;REPT("0",2-LEN(P66))&amp;P66</f>
        <v>P1S1A64</v>
      </c>
      <c r="M66" s="49">
        <v>1</v>
      </c>
      <c r="N66" s="49">
        <v>1</v>
      </c>
      <c r="O66" s="49">
        <v>1</v>
      </c>
      <c r="P66" s="50" t="s">
        <v>96</v>
      </c>
      <c r="Q66" s="51">
        <v>3928</v>
      </c>
      <c r="AZ66" s="53" t="str">
        <f t="shared" ref="AZ66:AZ97" si="10">"P"&amp;REPT("0",2-LEN(BA66))&amp;BA66&amp;"S"&amp;BB66&amp;"A"&amp;REPT("0",2-LEN(BC66))&amp;BC66</f>
        <v>P01S1A64</v>
      </c>
      <c r="BA66" s="53">
        <v>1</v>
      </c>
      <c r="BB66" s="53">
        <v>1</v>
      </c>
      <c r="BC66" s="53">
        <v>64</v>
      </c>
      <c r="BD66" s="53">
        <v>225</v>
      </c>
      <c r="BF66" s="53" t="str">
        <f t="shared" ref="BF66:BF129" si="11">"P"&amp;REPT("0",2-LEN(BG66))&amp;BG66&amp;"S"&amp;BH66&amp;"A"&amp;REPT("0",2-LEN(BI66))&amp;BI66</f>
        <v>P01S1A64</v>
      </c>
      <c r="BG66" s="53">
        <v>1</v>
      </c>
      <c r="BH66" s="53">
        <v>1</v>
      </c>
      <c r="BI66" s="173">
        <v>64</v>
      </c>
      <c r="BJ66" s="173">
        <v>1544</v>
      </c>
    </row>
    <row r="67" spans="1:62">
      <c r="A67" s="38" t="str">
        <f t="shared" si="8"/>
        <v>P06S2A29</v>
      </c>
      <c r="B67" s="45" t="s">
        <v>130</v>
      </c>
      <c r="C67" s="38">
        <v>6</v>
      </c>
      <c r="D67" s="38">
        <v>2</v>
      </c>
      <c r="E67" s="38">
        <v>29</v>
      </c>
      <c r="F67" s="38">
        <v>7</v>
      </c>
      <c r="H67" s="54" t="s">
        <v>96</v>
      </c>
      <c r="I67" s="51">
        <v>9149</v>
      </c>
      <c r="J67" s="55">
        <v>5632</v>
      </c>
      <c r="L67" s="36" t="str">
        <f t="shared" si="9"/>
        <v>P1S1A65</v>
      </c>
      <c r="M67" s="49">
        <v>1</v>
      </c>
      <c r="N67" s="49">
        <v>1</v>
      </c>
      <c r="O67" s="49">
        <v>1</v>
      </c>
      <c r="P67" s="50" t="s">
        <v>97</v>
      </c>
      <c r="Q67" s="51">
        <v>5115</v>
      </c>
      <c r="AZ67" s="53" t="str">
        <f t="shared" si="10"/>
        <v>P01S1A65</v>
      </c>
      <c r="BA67" s="53">
        <v>1</v>
      </c>
      <c r="BB67" s="53">
        <v>1</v>
      </c>
      <c r="BC67" s="53">
        <v>65</v>
      </c>
      <c r="BD67" s="53">
        <v>288</v>
      </c>
      <c r="BF67" s="53" t="str">
        <f t="shared" si="11"/>
        <v>P01S1A65</v>
      </c>
      <c r="BG67" s="53">
        <v>1</v>
      </c>
      <c r="BH67" s="53">
        <v>1</v>
      </c>
      <c r="BI67" s="173">
        <v>65</v>
      </c>
      <c r="BJ67" s="173">
        <v>1625</v>
      </c>
    </row>
    <row r="68" spans="1:62">
      <c r="A68" s="38" t="str">
        <f t="shared" si="8"/>
        <v>P06S2A30</v>
      </c>
      <c r="B68" s="38" t="s">
        <v>130</v>
      </c>
      <c r="C68" s="38">
        <v>6</v>
      </c>
      <c r="D68" s="38">
        <v>2</v>
      </c>
      <c r="E68" s="38">
        <v>30</v>
      </c>
      <c r="F68" s="38">
        <v>8</v>
      </c>
      <c r="H68" s="54" t="s">
        <v>97</v>
      </c>
      <c r="I68" s="51">
        <v>9712</v>
      </c>
      <c r="J68" s="55">
        <v>5962</v>
      </c>
      <c r="L68" s="36" t="str">
        <f t="shared" si="9"/>
        <v>P1S1A66</v>
      </c>
      <c r="M68" s="49">
        <v>1</v>
      </c>
      <c r="N68" s="49">
        <v>1</v>
      </c>
      <c r="O68" s="49">
        <v>1</v>
      </c>
      <c r="P68" s="50" t="s">
        <v>98</v>
      </c>
      <c r="Q68" s="51">
        <v>5115</v>
      </c>
      <c r="AZ68" s="53" t="str">
        <f t="shared" si="10"/>
        <v>P01S1A66</v>
      </c>
      <c r="BA68" s="53">
        <v>1</v>
      </c>
      <c r="BB68" s="53">
        <v>1</v>
      </c>
      <c r="BC68" s="53">
        <v>66</v>
      </c>
      <c r="BD68" s="53">
        <v>290</v>
      </c>
      <c r="BF68" s="53" t="str">
        <f t="shared" si="11"/>
        <v>P01S1A66</v>
      </c>
      <c r="BG68" s="53">
        <v>1</v>
      </c>
      <c r="BH68" s="53">
        <v>1</v>
      </c>
      <c r="BI68" s="173">
        <v>66</v>
      </c>
      <c r="BJ68" s="173">
        <v>1710</v>
      </c>
    </row>
    <row r="69" spans="1:62">
      <c r="A69" s="38" t="str">
        <f t="shared" si="8"/>
        <v>P06S2A31</v>
      </c>
      <c r="B69" s="38" t="s">
        <v>130</v>
      </c>
      <c r="C69" s="38">
        <v>6</v>
      </c>
      <c r="D69" s="38">
        <v>2</v>
      </c>
      <c r="E69" s="38">
        <v>31</v>
      </c>
      <c r="F69" s="38">
        <v>8</v>
      </c>
      <c r="H69" s="54" t="s">
        <v>98</v>
      </c>
      <c r="I69" s="51">
        <v>10312</v>
      </c>
      <c r="J69" s="55">
        <v>6314</v>
      </c>
      <c r="L69" s="36" t="str">
        <f t="shared" si="9"/>
        <v>P1S1A67</v>
      </c>
      <c r="M69" s="49">
        <v>1</v>
      </c>
      <c r="N69" s="49">
        <v>1</v>
      </c>
      <c r="O69" s="49">
        <v>1</v>
      </c>
      <c r="P69" s="50" t="s">
        <v>99</v>
      </c>
      <c r="Q69" s="51">
        <v>5115</v>
      </c>
      <c r="AZ69" s="53" t="str">
        <f t="shared" si="10"/>
        <v>P01S1A67</v>
      </c>
      <c r="BA69" s="53">
        <v>1</v>
      </c>
      <c r="BB69" s="53">
        <v>1</v>
      </c>
      <c r="BC69" s="53">
        <v>67</v>
      </c>
      <c r="BD69" s="53">
        <v>292</v>
      </c>
      <c r="BF69" s="53" t="str">
        <f t="shared" si="11"/>
        <v>P01S1A67</v>
      </c>
      <c r="BG69" s="53">
        <v>1</v>
      </c>
      <c r="BH69" s="53">
        <v>1</v>
      </c>
      <c r="BI69" s="173">
        <v>67</v>
      </c>
      <c r="BJ69" s="173">
        <v>1799</v>
      </c>
    </row>
    <row r="70" spans="1:62">
      <c r="A70" s="38" t="str">
        <f t="shared" si="8"/>
        <v>P06S2A32</v>
      </c>
      <c r="B70" s="38" t="s">
        <v>130</v>
      </c>
      <c r="C70" s="38">
        <v>6</v>
      </c>
      <c r="D70" s="38">
        <v>2</v>
      </c>
      <c r="E70" s="38">
        <v>32</v>
      </c>
      <c r="F70" s="38">
        <v>9</v>
      </c>
      <c r="H70" s="54" t="s">
        <v>99</v>
      </c>
      <c r="I70" s="51">
        <v>10947</v>
      </c>
      <c r="J70" s="55">
        <v>6690</v>
      </c>
      <c r="L70" s="36" t="str">
        <f t="shared" si="9"/>
        <v>P1S1A68</v>
      </c>
      <c r="M70" s="49">
        <v>1</v>
      </c>
      <c r="N70" s="49">
        <v>1</v>
      </c>
      <c r="O70" s="49">
        <v>1</v>
      </c>
      <c r="P70" s="50" t="s">
        <v>100</v>
      </c>
      <c r="Q70" s="51">
        <v>5115</v>
      </c>
      <c r="AZ70" s="53" t="str">
        <f t="shared" si="10"/>
        <v>P01S1A68</v>
      </c>
      <c r="BA70" s="53">
        <v>1</v>
      </c>
      <c r="BB70" s="53">
        <v>1</v>
      </c>
      <c r="BC70" s="53">
        <v>68</v>
      </c>
      <c r="BD70" s="53">
        <v>293</v>
      </c>
      <c r="BF70" s="53" t="str">
        <f t="shared" si="11"/>
        <v>P01S1A68</v>
      </c>
      <c r="BG70" s="53">
        <v>1</v>
      </c>
      <c r="BH70" s="53">
        <v>1</v>
      </c>
      <c r="BI70" s="173">
        <v>68</v>
      </c>
      <c r="BJ70" s="173">
        <v>1891</v>
      </c>
    </row>
    <row r="71" spans="1:62">
      <c r="A71" s="38" t="str">
        <f t="shared" si="8"/>
        <v>P06S2A33</v>
      </c>
      <c r="B71" s="38" t="s">
        <v>130</v>
      </c>
      <c r="C71" s="38">
        <v>6</v>
      </c>
      <c r="D71" s="38">
        <v>2</v>
      </c>
      <c r="E71" s="38">
        <v>33</v>
      </c>
      <c r="F71" s="38">
        <v>9</v>
      </c>
      <c r="H71" s="54" t="s">
        <v>100</v>
      </c>
      <c r="I71" s="51">
        <v>11571</v>
      </c>
      <c r="J71" s="55">
        <v>7098</v>
      </c>
      <c r="L71" s="36" t="str">
        <f t="shared" si="9"/>
        <v>P1S1A69</v>
      </c>
      <c r="M71" s="49">
        <v>1</v>
      </c>
      <c r="N71" s="49">
        <v>1</v>
      </c>
      <c r="O71" s="49">
        <v>1</v>
      </c>
      <c r="P71" s="50" t="s">
        <v>101</v>
      </c>
      <c r="Q71" s="51">
        <v>5115</v>
      </c>
      <c r="AZ71" s="53" t="str">
        <f t="shared" si="10"/>
        <v>P01S1A69</v>
      </c>
      <c r="BA71" s="53">
        <v>1</v>
      </c>
      <c r="BB71" s="53">
        <v>1</v>
      </c>
      <c r="BC71" s="53">
        <v>69</v>
      </c>
      <c r="BD71" s="53">
        <v>295</v>
      </c>
      <c r="BF71" s="53" t="str">
        <f t="shared" si="11"/>
        <v>P01S1A69</v>
      </c>
      <c r="BG71" s="53">
        <v>1</v>
      </c>
      <c r="BH71" s="53">
        <v>1</v>
      </c>
      <c r="BI71" s="173">
        <v>69</v>
      </c>
      <c r="BJ71" s="173">
        <v>1987</v>
      </c>
    </row>
    <row r="72" spans="1:62">
      <c r="A72" s="38" t="str">
        <f t="shared" si="8"/>
        <v>P06S2A34</v>
      </c>
      <c r="B72" s="38" t="s">
        <v>130</v>
      </c>
      <c r="C72" s="38">
        <v>6</v>
      </c>
      <c r="D72" s="38">
        <v>2</v>
      </c>
      <c r="E72" s="38">
        <v>34</v>
      </c>
      <c r="F72" s="38">
        <v>9</v>
      </c>
      <c r="H72" s="54" t="s">
        <v>101</v>
      </c>
      <c r="I72" s="51">
        <v>12230</v>
      </c>
      <c r="J72" s="55">
        <v>7534</v>
      </c>
      <c r="L72" s="36" t="str">
        <f t="shared" si="9"/>
        <v>P1S1A70</v>
      </c>
      <c r="M72" s="49">
        <v>1</v>
      </c>
      <c r="N72" s="49">
        <v>1</v>
      </c>
      <c r="O72" s="49">
        <v>1</v>
      </c>
      <c r="P72" s="50" t="s">
        <v>102</v>
      </c>
      <c r="Q72" s="51">
        <v>6372</v>
      </c>
      <c r="AZ72" s="53" t="str">
        <f t="shared" si="10"/>
        <v>P01S1A70</v>
      </c>
      <c r="BA72" s="53">
        <v>1</v>
      </c>
      <c r="BB72" s="53">
        <v>1</v>
      </c>
      <c r="BC72" s="53">
        <v>70</v>
      </c>
      <c r="BD72" s="53">
        <v>400</v>
      </c>
      <c r="BF72" s="53" t="str">
        <f t="shared" si="11"/>
        <v>P01S1A70</v>
      </c>
      <c r="BG72" s="53">
        <v>1</v>
      </c>
      <c r="BH72" s="53">
        <v>1</v>
      </c>
      <c r="BI72" s="173">
        <v>70</v>
      </c>
      <c r="BJ72" s="173">
        <v>2088</v>
      </c>
    </row>
    <row r="73" spans="1:62">
      <c r="A73" s="38" t="str">
        <f t="shared" si="8"/>
        <v>P06S2A35</v>
      </c>
      <c r="B73" s="38" t="s">
        <v>130</v>
      </c>
      <c r="C73" s="38">
        <v>6</v>
      </c>
      <c r="D73" s="38">
        <v>2</v>
      </c>
      <c r="E73" s="38">
        <v>35</v>
      </c>
      <c r="F73" s="38">
        <v>10</v>
      </c>
      <c r="H73" s="54" t="s">
        <v>102</v>
      </c>
      <c r="I73" s="51">
        <v>12926</v>
      </c>
      <c r="J73" s="55">
        <v>8005</v>
      </c>
      <c r="L73" s="36" t="str">
        <f t="shared" si="9"/>
        <v>P1S1A71</v>
      </c>
      <c r="M73" s="49">
        <v>1</v>
      </c>
      <c r="N73" s="49">
        <v>1</v>
      </c>
      <c r="O73" s="49">
        <v>1</v>
      </c>
      <c r="P73" s="50" t="s">
        <v>103</v>
      </c>
      <c r="Q73" s="51">
        <v>6372</v>
      </c>
      <c r="AZ73" s="53" t="str">
        <f t="shared" si="10"/>
        <v>P01S1A71</v>
      </c>
      <c r="BA73" s="53">
        <v>1</v>
      </c>
      <c r="BB73" s="53">
        <v>1</v>
      </c>
      <c r="BC73" s="53">
        <v>71</v>
      </c>
      <c r="BD73" s="53">
        <v>402</v>
      </c>
      <c r="BF73" s="53" t="str">
        <f t="shared" si="11"/>
        <v>P01S1A71</v>
      </c>
      <c r="BG73" s="53">
        <v>1</v>
      </c>
      <c r="BH73" s="53">
        <v>1</v>
      </c>
      <c r="BI73" s="173">
        <v>71</v>
      </c>
      <c r="BJ73" s="173">
        <v>2193</v>
      </c>
    </row>
    <row r="74" spans="1:62">
      <c r="A74" s="38" t="str">
        <f t="shared" si="8"/>
        <v>P06S2A36</v>
      </c>
      <c r="B74" s="38" t="s">
        <v>130</v>
      </c>
      <c r="C74" s="38">
        <v>6</v>
      </c>
      <c r="D74" s="38">
        <v>2</v>
      </c>
      <c r="E74" s="38">
        <v>36</v>
      </c>
      <c r="F74" s="38">
        <v>11</v>
      </c>
      <c r="H74" s="54" t="s">
        <v>103</v>
      </c>
      <c r="I74" s="51">
        <v>13662</v>
      </c>
      <c r="J74" s="55">
        <v>8509</v>
      </c>
      <c r="L74" s="36" t="str">
        <f t="shared" si="9"/>
        <v>P1S1A72</v>
      </c>
      <c r="M74" s="49">
        <v>1</v>
      </c>
      <c r="N74" s="49">
        <v>1</v>
      </c>
      <c r="O74" s="49">
        <v>1</v>
      </c>
      <c r="P74" s="50" t="s">
        <v>104</v>
      </c>
      <c r="Q74" s="51">
        <v>6372</v>
      </c>
      <c r="AZ74" s="53" t="str">
        <f t="shared" si="10"/>
        <v>P01S1A72</v>
      </c>
      <c r="BA74" s="53">
        <v>1</v>
      </c>
      <c r="BB74" s="53">
        <v>1</v>
      </c>
      <c r="BC74" s="53">
        <v>72</v>
      </c>
      <c r="BD74" s="53">
        <v>404</v>
      </c>
      <c r="BF74" s="53" t="str">
        <f t="shared" si="11"/>
        <v>P01S1A72</v>
      </c>
      <c r="BG74" s="53">
        <v>1</v>
      </c>
      <c r="BH74" s="53">
        <v>1</v>
      </c>
      <c r="BI74" s="173">
        <v>72</v>
      </c>
      <c r="BJ74" s="173">
        <v>2305</v>
      </c>
    </row>
    <row r="75" spans="1:62">
      <c r="A75" s="38" t="str">
        <f t="shared" si="8"/>
        <v>P06S2A37</v>
      </c>
      <c r="B75" s="38" t="s">
        <v>130</v>
      </c>
      <c r="C75" s="38">
        <v>6</v>
      </c>
      <c r="D75" s="38">
        <v>2</v>
      </c>
      <c r="E75" s="38">
        <v>37</v>
      </c>
      <c r="F75" s="38">
        <v>12</v>
      </c>
      <c r="H75" s="54" t="s">
        <v>104</v>
      </c>
      <c r="I75" s="51">
        <v>14442</v>
      </c>
      <c r="J75" s="55">
        <v>9050</v>
      </c>
      <c r="L75" s="36" t="str">
        <f t="shared" si="9"/>
        <v>P1S1A73</v>
      </c>
      <c r="M75" s="49">
        <v>1</v>
      </c>
      <c r="N75" s="49">
        <v>1</v>
      </c>
      <c r="O75" s="49">
        <v>1</v>
      </c>
      <c r="P75" s="50" t="s">
        <v>105</v>
      </c>
      <c r="Q75" s="51">
        <v>6372</v>
      </c>
      <c r="AZ75" s="53" t="str">
        <f t="shared" si="10"/>
        <v>P01S1A73</v>
      </c>
      <c r="BA75" s="53">
        <v>1</v>
      </c>
      <c r="BB75" s="53">
        <v>1</v>
      </c>
      <c r="BC75" s="53">
        <v>73</v>
      </c>
      <c r="BD75" s="53">
        <v>406</v>
      </c>
      <c r="BF75" s="53" t="str">
        <f t="shared" si="11"/>
        <v>P01S1A73</v>
      </c>
      <c r="BG75" s="53">
        <v>1</v>
      </c>
      <c r="BH75" s="53">
        <v>1</v>
      </c>
      <c r="BI75" s="173">
        <v>73</v>
      </c>
      <c r="BJ75" s="173">
        <v>2380</v>
      </c>
    </row>
    <row r="76" spans="1:62">
      <c r="A76" s="38" t="str">
        <f t="shared" si="8"/>
        <v>P06S2A38</v>
      </c>
      <c r="B76" s="38" t="s">
        <v>130</v>
      </c>
      <c r="C76" s="38">
        <v>6</v>
      </c>
      <c r="D76" s="38">
        <v>2</v>
      </c>
      <c r="E76" s="38">
        <v>38</v>
      </c>
      <c r="F76" s="38">
        <v>13</v>
      </c>
      <c r="H76" s="54" t="s">
        <v>105</v>
      </c>
      <c r="I76" s="51">
        <v>15034</v>
      </c>
      <c r="J76" s="55">
        <v>9458</v>
      </c>
      <c r="L76" s="36" t="str">
        <f t="shared" si="9"/>
        <v>P1S1A74</v>
      </c>
      <c r="M76" s="49">
        <v>1</v>
      </c>
      <c r="N76" s="49">
        <v>1</v>
      </c>
      <c r="O76" s="49">
        <v>1</v>
      </c>
      <c r="P76" s="50" t="s">
        <v>106</v>
      </c>
      <c r="Q76" s="51">
        <v>6372</v>
      </c>
      <c r="AZ76" s="53" t="str">
        <f t="shared" si="10"/>
        <v>P01S1A74</v>
      </c>
      <c r="BA76" s="53">
        <v>1</v>
      </c>
      <c r="BB76" s="53">
        <v>1</v>
      </c>
      <c r="BC76" s="53">
        <v>74</v>
      </c>
      <c r="BD76" s="53">
        <v>408</v>
      </c>
      <c r="BF76" s="53" t="str">
        <f t="shared" si="11"/>
        <v>P01S1A74</v>
      </c>
      <c r="BG76" s="53">
        <v>1</v>
      </c>
      <c r="BH76" s="53">
        <v>1</v>
      </c>
      <c r="BI76" s="173">
        <v>74</v>
      </c>
      <c r="BJ76" s="173">
        <v>2424</v>
      </c>
    </row>
    <row r="77" spans="1:62">
      <c r="A77" s="38" t="str">
        <f t="shared" si="8"/>
        <v>P06S2A39</v>
      </c>
      <c r="B77" s="38" t="s">
        <v>130</v>
      </c>
      <c r="C77" s="38">
        <v>6</v>
      </c>
      <c r="D77" s="38">
        <v>2</v>
      </c>
      <c r="E77" s="38">
        <v>39</v>
      </c>
      <c r="F77" s="38">
        <v>15</v>
      </c>
      <c r="H77" s="54" t="s">
        <v>106</v>
      </c>
      <c r="I77" s="51">
        <v>15650</v>
      </c>
      <c r="J77" s="55">
        <v>9886</v>
      </c>
      <c r="L77" s="36" t="str">
        <f t="shared" si="9"/>
        <v>P1S1A75</v>
      </c>
      <c r="M77" s="49">
        <v>1</v>
      </c>
      <c r="N77" s="49">
        <v>1</v>
      </c>
      <c r="O77" s="49">
        <v>1</v>
      </c>
      <c r="P77" s="50" t="s">
        <v>107</v>
      </c>
      <c r="Q77" s="51">
        <v>6372</v>
      </c>
      <c r="AZ77" s="53" t="str">
        <f t="shared" si="10"/>
        <v>P01S1A75</v>
      </c>
      <c r="BA77" s="53">
        <v>1</v>
      </c>
      <c r="BB77" s="53">
        <v>1</v>
      </c>
      <c r="BC77" s="53">
        <v>75</v>
      </c>
      <c r="BD77" s="53">
        <v>471</v>
      </c>
      <c r="BF77" s="53" t="str">
        <f t="shared" si="11"/>
        <v>P01S1A75</v>
      </c>
      <c r="BG77" s="53">
        <v>1</v>
      </c>
      <c r="BH77" s="53">
        <v>1</v>
      </c>
      <c r="BI77" s="173">
        <v>75</v>
      </c>
      <c r="BJ77" s="173">
        <v>2469</v>
      </c>
    </row>
    <row r="78" spans="1:62">
      <c r="A78" s="38" t="str">
        <f t="shared" si="8"/>
        <v>P06S2A40</v>
      </c>
      <c r="B78" s="38" t="s">
        <v>130</v>
      </c>
      <c r="C78" s="38">
        <v>6</v>
      </c>
      <c r="D78" s="38">
        <v>2</v>
      </c>
      <c r="E78" s="38">
        <v>40</v>
      </c>
      <c r="F78" s="38">
        <v>17</v>
      </c>
      <c r="H78" s="59" t="s">
        <v>107</v>
      </c>
      <c r="I78" s="60">
        <v>16293</v>
      </c>
      <c r="J78" s="61">
        <v>10339</v>
      </c>
      <c r="L78" s="36" t="str">
        <f t="shared" si="9"/>
        <v>P2S1A00</v>
      </c>
      <c r="M78" s="49">
        <v>2</v>
      </c>
      <c r="N78" s="49">
        <v>1</v>
      </c>
      <c r="O78" s="49">
        <v>1</v>
      </c>
      <c r="P78" s="50" t="s">
        <v>32</v>
      </c>
      <c r="Q78" s="51">
        <v>2420</v>
      </c>
      <c r="AZ78" s="53" t="str">
        <f t="shared" si="10"/>
        <v>P01S1A76</v>
      </c>
      <c r="BA78" s="53">
        <v>1</v>
      </c>
      <c r="BB78" s="53">
        <v>1</v>
      </c>
      <c r="BC78" s="53">
        <v>76</v>
      </c>
      <c r="BD78" s="53">
        <v>473</v>
      </c>
      <c r="BF78" s="53" t="str">
        <f t="shared" si="11"/>
        <v>P01S1A76</v>
      </c>
      <c r="BG78" s="53">
        <v>1</v>
      </c>
      <c r="BH78" s="53">
        <v>1</v>
      </c>
      <c r="BI78" s="173">
        <v>76</v>
      </c>
      <c r="BJ78" s="173">
        <v>2549</v>
      </c>
    </row>
    <row r="79" spans="1:62">
      <c r="A79" s="38" t="str">
        <f t="shared" si="8"/>
        <v>P06S2A41</v>
      </c>
      <c r="B79" s="38" t="s">
        <v>130</v>
      </c>
      <c r="C79" s="38">
        <v>6</v>
      </c>
      <c r="D79" s="38">
        <v>2</v>
      </c>
      <c r="E79" s="38">
        <v>41</v>
      </c>
      <c r="F79" s="38">
        <v>18</v>
      </c>
      <c r="L79" s="36" t="str">
        <f t="shared" si="9"/>
        <v>P2S1A01</v>
      </c>
      <c r="M79" s="49">
        <v>2</v>
      </c>
      <c r="N79" s="49">
        <v>1</v>
      </c>
      <c r="O79" s="49">
        <v>1</v>
      </c>
      <c r="P79" s="50" t="s">
        <v>33</v>
      </c>
      <c r="Q79" s="51">
        <v>2420</v>
      </c>
      <c r="AZ79" s="53" t="str">
        <f t="shared" si="10"/>
        <v>P01S1A77</v>
      </c>
      <c r="BA79" s="53">
        <v>1</v>
      </c>
      <c r="BB79" s="53">
        <v>1</v>
      </c>
      <c r="BC79" s="53">
        <v>77</v>
      </c>
      <c r="BD79" s="53">
        <v>475</v>
      </c>
      <c r="BF79" s="53" t="str">
        <f t="shared" si="11"/>
        <v>P01S1A77</v>
      </c>
      <c r="BG79" s="53">
        <v>1</v>
      </c>
      <c r="BH79" s="53">
        <v>1</v>
      </c>
      <c r="BI79" s="173">
        <v>77</v>
      </c>
      <c r="BJ79" s="173">
        <v>2631</v>
      </c>
    </row>
    <row r="80" spans="1:62">
      <c r="A80" s="38" t="str">
        <f t="shared" si="8"/>
        <v>P06S2A42</v>
      </c>
      <c r="B80" s="38" t="s">
        <v>130</v>
      </c>
      <c r="C80" s="38">
        <v>6</v>
      </c>
      <c r="D80" s="38">
        <v>2</v>
      </c>
      <c r="E80" s="38">
        <v>42</v>
      </c>
      <c r="F80" s="38">
        <v>20</v>
      </c>
      <c r="L80" s="36" t="str">
        <f t="shared" si="9"/>
        <v>P2S1A02</v>
      </c>
      <c r="M80" s="49">
        <v>2</v>
      </c>
      <c r="N80" s="49">
        <v>1</v>
      </c>
      <c r="O80" s="49">
        <v>1</v>
      </c>
      <c r="P80" s="50" t="s">
        <v>34</v>
      </c>
      <c r="Q80" s="51">
        <v>2420</v>
      </c>
      <c r="AZ80" s="53" t="str">
        <f t="shared" si="10"/>
        <v>P01S1A78</v>
      </c>
      <c r="BA80" s="53">
        <v>1</v>
      </c>
      <c r="BB80" s="53">
        <v>1</v>
      </c>
      <c r="BC80" s="53">
        <v>78</v>
      </c>
      <c r="BD80" s="53">
        <v>476</v>
      </c>
      <c r="BF80" s="53" t="str">
        <f t="shared" si="11"/>
        <v>P01S1A78</v>
      </c>
      <c r="BG80" s="53">
        <v>1</v>
      </c>
      <c r="BH80" s="53">
        <v>1</v>
      </c>
      <c r="BI80" s="173">
        <v>78</v>
      </c>
      <c r="BJ80" s="173">
        <v>2656</v>
      </c>
    </row>
    <row r="81" spans="1:62">
      <c r="A81" s="38" t="str">
        <f t="shared" si="8"/>
        <v>P06S2A43</v>
      </c>
      <c r="B81" s="38" t="s">
        <v>130</v>
      </c>
      <c r="C81" s="38">
        <v>6</v>
      </c>
      <c r="D81" s="38">
        <v>2</v>
      </c>
      <c r="E81" s="38">
        <v>43</v>
      </c>
      <c r="F81" s="38">
        <v>22</v>
      </c>
      <c r="L81" s="36" t="str">
        <f t="shared" si="9"/>
        <v>P2S1A03</v>
      </c>
      <c r="M81" s="49">
        <v>2</v>
      </c>
      <c r="N81" s="49">
        <v>1</v>
      </c>
      <c r="O81" s="49">
        <v>1</v>
      </c>
      <c r="P81" s="50" t="s">
        <v>35</v>
      </c>
      <c r="Q81" s="51">
        <v>2420</v>
      </c>
      <c r="AZ81" s="53" t="str">
        <f t="shared" si="10"/>
        <v>P01S1A79</v>
      </c>
      <c r="BA81" s="53">
        <v>1</v>
      </c>
      <c r="BB81" s="53">
        <v>1</v>
      </c>
      <c r="BC81" s="53">
        <v>79</v>
      </c>
      <c r="BD81" s="53">
        <v>478</v>
      </c>
      <c r="BF81" s="53" t="str">
        <f t="shared" si="11"/>
        <v>P01S1A79</v>
      </c>
      <c r="BG81" s="53">
        <v>1</v>
      </c>
      <c r="BH81" s="53">
        <v>1</v>
      </c>
      <c r="BI81" s="173">
        <v>79</v>
      </c>
      <c r="BJ81" s="173">
        <v>2680</v>
      </c>
    </row>
    <row r="82" spans="1:62">
      <c r="A82" s="38" t="str">
        <f t="shared" si="8"/>
        <v>P06S2A44</v>
      </c>
      <c r="B82" s="38" t="s">
        <v>130</v>
      </c>
      <c r="C82" s="38">
        <v>6</v>
      </c>
      <c r="D82" s="38">
        <v>2</v>
      </c>
      <c r="E82" s="38">
        <v>44</v>
      </c>
      <c r="F82" s="38">
        <v>25</v>
      </c>
      <c r="L82" s="36" t="str">
        <f t="shared" si="9"/>
        <v>P2S1A04</v>
      </c>
      <c r="M82" s="49">
        <v>2</v>
      </c>
      <c r="N82" s="49">
        <v>1</v>
      </c>
      <c r="O82" s="49">
        <v>1</v>
      </c>
      <c r="P82" s="50" t="s">
        <v>36</v>
      </c>
      <c r="Q82" s="51">
        <v>2420</v>
      </c>
      <c r="AZ82" s="53" t="str">
        <f t="shared" si="10"/>
        <v>P01S1A80</v>
      </c>
      <c r="BA82" s="53">
        <v>1</v>
      </c>
      <c r="BB82" s="53">
        <v>1</v>
      </c>
      <c r="BC82" s="53">
        <v>80</v>
      </c>
      <c r="BD82" s="53">
        <v>539</v>
      </c>
      <c r="BF82" s="53" t="str">
        <f t="shared" si="11"/>
        <v>P01S1A80</v>
      </c>
      <c r="BG82" s="53">
        <v>1</v>
      </c>
      <c r="BH82" s="53">
        <v>1</v>
      </c>
      <c r="BI82" s="173">
        <v>80</v>
      </c>
      <c r="BJ82" s="173">
        <v>2704</v>
      </c>
    </row>
    <row r="83" spans="1:62">
      <c r="A83" s="38" t="str">
        <f t="shared" si="8"/>
        <v>P06S2A45</v>
      </c>
      <c r="B83" s="38" t="s">
        <v>130</v>
      </c>
      <c r="C83" s="38">
        <v>6</v>
      </c>
      <c r="D83" s="38">
        <v>2</v>
      </c>
      <c r="E83" s="38">
        <v>45</v>
      </c>
      <c r="F83" s="38">
        <v>26</v>
      </c>
      <c r="L83" s="36" t="str">
        <f t="shared" si="9"/>
        <v>P2S1A05</v>
      </c>
      <c r="M83" s="49">
        <v>2</v>
      </c>
      <c r="N83" s="49">
        <v>1</v>
      </c>
      <c r="O83" s="49">
        <v>1</v>
      </c>
      <c r="P83" s="50" t="s">
        <v>37</v>
      </c>
      <c r="Q83" s="51">
        <v>2420</v>
      </c>
      <c r="AZ83" s="53" t="str">
        <f t="shared" si="10"/>
        <v>P01S1A81</v>
      </c>
      <c r="BA83" s="53">
        <v>1</v>
      </c>
      <c r="BB83" s="53">
        <v>1</v>
      </c>
      <c r="BC83" s="53">
        <v>81</v>
      </c>
      <c r="BD83" s="53">
        <v>540</v>
      </c>
      <c r="BF83" s="53" t="str">
        <f t="shared" si="11"/>
        <v>P01S1A81</v>
      </c>
      <c r="BG83" s="53">
        <v>1</v>
      </c>
      <c r="BH83" s="53">
        <v>1</v>
      </c>
      <c r="BI83" s="173">
        <v>81</v>
      </c>
      <c r="BJ83" s="173">
        <v>2728</v>
      </c>
    </row>
    <row r="84" spans="1:62">
      <c r="A84" s="38" t="str">
        <f t="shared" si="8"/>
        <v>P06S2A46</v>
      </c>
      <c r="B84" s="38" t="s">
        <v>130</v>
      </c>
      <c r="C84" s="38">
        <v>6</v>
      </c>
      <c r="D84" s="38">
        <v>2</v>
      </c>
      <c r="E84" s="38">
        <v>46</v>
      </c>
      <c r="F84" s="38">
        <v>28</v>
      </c>
      <c r="L84" s="36" t="str">
        <f t="shared" si="9"/>
        <v>P2S1A06</v>
      </c>
      <c r="M84" s="49">
        <v>2</v>
      </c>
      <c r="N84" s="49">
        <v>1</v>
      </c>
      <c r="O84" s="49">
        <v>1</v>
      </c>
      <c r="P84" s="50" t="s">
        <v>38</v>
      </c>
      <c r="Q84" s="51">
        <v>2420</v>
      </c>
      <c r="AZ84" s="53" t="str">
        <f t="shared" si="10"/>
        <v>P01S1A82</v>
      </c>
      <c r="BA84" s="53">
        <v>1</v>
      </c>
      <c r="BB84" s="53">
        <v>1</v>
      </c>
      <c r="BC84" s="53">
        <v>82</v>
      </c>
      <c r="BD84" s="53">
        <v>540</v>
      </c>
      <c r="BF84" s="53" t="str">
        <f t="shared" si="11"/>
        <v>P01S1A82</v>
      </c>
      <c r="BG84" s="53">
        <v>1</v>
      </c>
      <c r="BH84" s="53">
        <v>1</v>
      </c>
      <c r="BI84" s="173">
        <v>82</v>
      </c>
      <c r="BJ84" s="173">
        <v>2775</v>
      </c>
    </row>
    <row r="85" spans="1:62">
      <c r="A85" s="38" t="str">
        <f t="shared" si="8"/>
        <v>P06S2A47</v>
      </c>
      <c r="B85" s="38" t="s">
        <v>130</v>
      </c>
      <c r="C85" s="38">
        <v>6</v>
      </c>
      <c r="D85" s="38">
        <v>2</v>
      </c>
      <c r="E85" s="38">
        <v>47</v>
      </c>
      <c r="F85" s="38">
        <v>29</v>
      </c>
      <c r="L85" s="36" t="str">
        <f t="shared" si="9"/>
        <v>P2S1A07</v>
      </c>
      <c r="M85" s="49">
        <v>2</v>
      </c>
      <c r="N85" s="49">
        <v>1</v>
      </c>
      <c r="O85" s="49">
        <v>1</v>
      </c>
      <c r="P85" s="50" t="s">
        <v>39</v>
      </c>
      <c r="Q85" s="51">
        <v>2420</v>
      </c>
      <c r="AZ85" s="53" t="str">
        <f t="shared" si="10"/>
        <v>P01S1A83</v>
      </c>
      <c r="BA85" s="53">
        <v>1</v>
      </c>
      <c r="BB85" s="53">
        <v>1</v>
      </c>
      <c r="BC85" s="53">
        <v>83</v>
      </c>
      <c r="BD85" s="53">
        <v>541</v>
      </c>
      <c r="BF85" s="53" t="str">
        <f t="shared" si="11"/>
        <v>P01S1A83</v>
      </c>
      <c r="BG85" s="53">
        <v>1</v>
      </c>
      <c r="BH85" s="53">
        <v>1</v>
      </c>
      <c r="BI85" s="173">
        <v>83</v>
      </c>
      <c r="BJ85" s="173">
        <v>2762</v>
      </c>
    </row>
    <row r="86" spans="1:62">
      <c r="A86" s="38" t="str">
        <f t="shared" si="8"/>
        <v>P06S2A48</v>
      </c>
      <c r="B86" s="38" t="s">
        <v>130</v>
      </c>
      <c r="C86" s="38">
        <v>6</v>
      </c>
      <c r="D86" s="38">
        <v>2</v>
      </c>
      <c r="E86" s="38">
        <v>48</v>
      </c>
      <c r="F86" s="38">
        <v>31</v>
      </c>
      <c r="L86" s="36" t="str">
        <f t="shared" si="9"/>
        <v>P2S1A08</v>
      </c>
      <c r="M86" s="49">
        <v>2</v>
      </c>
      <c r="N86" s="49">
        <v>1</v>
      </c>
      <c r="O86" s="49">
        <v>1</v>
      </c>
      <c r="P86" s="50" t="s">
        <v>40</v>
      </c>
      <c r="Q86" s="51">
        <v>2420</v>
      </c>
      <c r="AZ86" s="53" t="str">
        <f t="shared" si="10"/>
        <v>P01S1A84</v>
      </c>
      <c r="BA86" s="53">
        <v>1</v>
      </c>
      <c r="BB86" s="53">
        <v>1</v>
      </c>
      <c r="BC86" s="53">
        <v>84</v>
      </c>
      <c r="BD86" s="53">
        <v>540</v>
      </c>
      <c r="BF86" s="53" t="str">
        <f t="shared" si="11"/>
        <v>P01S1A84</v>
      </c>
      <c r="BG86" s="53">
        <v>1</v>
      </c>
      <c r="BH86" s="53">
        <v>1</v>
      </c>
      <c r="BI86" s="173">
        <v>84</v>
      </c>
      <c r="BJ86" s="173">
        <v>2749</v>
      </c>
    </row>
    <row r="87" spans="1:62">
      <c r="A87" s="38" t="str">
        <f t="shared" si="8"/>
        <v>P06S2A49</v>
      </c>
      <c r="B87" s="38" t="s">
        <v>130</v>
      </c>
      <c r="C87" s="38">
        <v>6</v>
      </c>
      <c r="D87" s="38">
        <v>2</v>
      </c>
      <c r="E87" s="38">
        <v>49</v>
      </c>
      <c r="F87" s="38">
        <v>32</v>
      </c>
      <c r="L87" s="36" t="str">
        <f t="shared" si="9"/>
        <v>P2S1A09</v>
      </c>
      <c r="M87" s="49">
        <v>2</v>
      </c>
      <c r="N87" s="49">
        <v>1</v>
      </c>
      <c r="O87" s="49">
        <v>1</v>
      </c>
      <c r="P87" s="50" t="s">
        <v>41</v>
      </c>
      <c r="Q87" s="51">
        <v>2420</v>
      </c>
      <c r="AZ87" s="53" t="str">
        <f t="shared" si="10"/>
        <v>P01S1A85</v>
      </c>
      <c r="BA87" s="53">
        <v>1</v>
      </c>
      <c r="BB87" s="53">
        <v>1</v>
      </c>
      <c r="BC87" s="53">
        <v>85</v>
      </c>
      <c r="BD87" s="53">
        <v>536</v>
      </c>
      <c r="BF87" s="53" t="str">
        <f t="shared" si="11"/>
        <v>P01S1A85</v>
      </c>
      <c r="BG87" s="53">
        <v>1</v>
      </c>
      <c r="BH87" s="53">
        <v>1</v>
      </c>
      <c r="BI87" s="173">
        <v>85</v>
      </c>
      <c r="BJ87" s="173">
        <v>2737</v>
      </c>
    </row>
    <row r="88" spans="1:62">
      <c r="A88" s="38" t="str">
        <f t="shared" si="8"/>
        <v>P06S2A50</v>
      </c>
      <c r="B88" s="38" t="s">
        <v>130</v>
      </c>
      <c r="C88" s="38">
        <v>6</v>
      </c>
      <c r="D88" s="38">
        <v>2</v>
      </c>
      <c r="E88" s="38">
        <v>50</v>
      </c>
      <c r="F88" s="38">
        <v>34</v>
      </c>
      <c r="L88" s="36" t="str">
        <f t="shared" si="9"/>
        <v>P2S1A10</v>
      </c>
      <c r="M88" s="49">
        <v>2</v>
      </c>
      <c r="N88" s="49">
        <v>1</v>
      </c>
      <c r="O88" s="49">
        <v>1</v>
      </c>
      <c r="P88" s="50" t="s">
        <v>42</v>
      </c>
      <c r="Q88" s="51">
        <v>2420</v>
      </c>
      <c r="AZ88" s="53" t="str">
        <f t="shared" si="10"/>
        <v>P01S2A00</v>
      </c>
      <c r="BA88" s="53">
        <v>1</v>
      </c>
      <c r="BB88" s="53">
        <v>2</v>
      </c>
      <c r="BC88" s="53">
        <v>0</v>
      </c>
      <c r="BD88" s="53">
        <v>3</v>
      </c>
      <c r="BF88" s="53" t="str">
        <f t="shared" si="11"/>
        <v>P01S2A00</v>
      </c>
      <c r="BG88" s="53">
        <v>1</v>
      </c>
      <c r="BH88" s="53">
        <v>2</v>
      </c>
      <c r="BI88" s="173">
        <v>0</v>
      </c>
      <c r="BJ88" s="173">
        <v>44</v>
      </c>
    </row>
    <row r="89" spans="1:62">
      <c r="A89" s="38" t="str">
        <f t="shared" si="8"/>
        <v>P06S2A51</v>
      </c>
      <c r="B89" s="38" t="s">
        <v>130</v>
      </c>
      <c r="C89" s="38">
        <v>6</v>
      </c>
      <c r="D89" s="38">
        <v>2</v>
      </c>
      <c r="E89" s="38">
        <v>51</v>
      </c>
      <c r="F89" s="38">
        <v>37</v>
      </c>
      <c r="L89" s="36" t="str">
        <f t="shared" si="9"/>
        <v>P2S1A11</v>
      </c>
      <c r="M89" s="49">
        <v>2</v>
      </c>
      <c r="N89" s="49">
        <v>1</v>
      </c>
      <c r="O89" s="49">
        <v>1</v>
      </c>
      <c r="P89" s="50" t="s">
        <v>43</v>
      </c>
      <c r="Q89" s="51">
        <v>2420</v>
      </c>
      <c r="AZ89" s="53" t="str">
        <f t="shared" si="10"/>
        <v>P01S2A01</v>
      </c>
      <c r="BA89" s="53">
        <v>1</v>
      </c>
      <c r="BB89" s="53">
        <v>2</v>
      </c>
      <c r="BC89" s="53">
        <v>1</v>
      </c>
      <c r="BD89" s="53">
        <v>3</v>
      </c>
      <c r="BF89" s="53" t="str">
        <f t="shared" si="11"/>
        <v>P01S2A01</v>
      </c>
      <c r="BG89" s="53">
        <v>1</v>
      </c>
      <c r="BH89" s="53">
        <v>2</v>
      </c>
      <c r="BI89" s="173">
        <v>1</v>
      </c>
      <c r="BJ89" s="173">
        <v>38</v>
      </c>
    </row>
    <row r="90" spans="1:62">
      <c r="A90" s="38" t="str">
        <f t="shared" si="8"/>
        <v>P06S2A52</v>
      </c>
      <c r="B90" s="38" t="s">
        <v>130</v>
      </c>
      <c r="C90" s="38">
        <v>6</v>
      </c>
      <c r="D90" s="38">
        <v>2</v>
      </c>
      <c r="E90" s="38">
        <v>52</v>
      </c>
      <c r="F90" s="38">
        <v>40</v>
      </c>
      <c r="L90" s="36" t="str">
        <f t="shared" si="9"/>
        <v>P2S1A12</v>
      </c>
      <c r="M90" s="49">
        <v>2</v>
      </c>
      <c r="N90" s="49">
        <v>1</v>
      </c>
      <c r="O90" s="49">
        <v>1</v>
      </c>
      <c r="P90" s="50" t="s">
        <v>44</v>
      </c>
      <c r="Q90" s="51">
        <v>2420</v>
      </c>
      <c r="AZ90" s="53" t="str">
        <f t="shared" si="10"/>
        <v>P01S2A02</v>
      </c>
      <c r="BA90" s="53">
        <v>1</v>
      </c>
      <c r="BB90" s="53">
        <v>2</v>
      </c>
      <c r="BC90" s="53">
        <v>2</v>
      </c>
      <c r="BD90" s="53">
        <v>3</v>
      </c>
      <c r="BF90" s="53" t="str">
        <f t="shared" si="11"/>
        <v>P01S2A02</v>
      </c>
      <c r="BG90" s="53">
        <v>1</v>
      </c>
      <c r="BH90" s="53">
        <v>2</v>
      </c>
      <c r="BI90" s="173">
        <v>2</v>
      </c>
      <c r="BJ90" s="173">
        <v>33</v>
      </c>
    </row>
    <row r="91" spans="1:62">
      <c r="A91" s="38" t="str">
        <f t="shared" si="8"/>
        <v>P06S2A53</v>
      </c>
      <c r="B91" s="38" t="s">
        <v>130</v>
      </c>
      <c r="C91" s="38">
        <v>6</v>
      </c>
      <c r="D91" s="38">
        <v>2</v>
      </c>
      <c r="E91" s="38">
        <v>53</v>
      </c>
      <c r="F91" s="38">
        <v>43</v>
      </c>
      <c r="L91" s="36" t="str">
        <f t="shared" si="9"/>
        <v>P2S1A13</v>
      </c>
      <c r="M91" s="49">
        <v>2</v>
      </c>
      <c r="N91" s="49">
        <v>1</v>
      </c>
      <c r="O91" s="49">
        <v>1</v>
      </c>
      <c r="P91" s="50" t="s">
        <v>45</v>
      </c>
      <c r="Q91" s="51">
        <v>2420</v>
      </c>
      <c r="AZ91" s="53" t="str">
        <f t="shared" si="10"/>
        <v>P01S2A03</v>
      </c>
      <c r="BA91" s="53">
        <v>1</v>
      </c>
      <c r="BB91" s="53">
        <v>2</v>
      </c>
      <c r="BC91" s="53">
        <v>3</v>
      </c>
      <c r="BD91" s="53">
        <v>3</v>
      </c>
      <c r="BF91" s="53" t="str">
        <f t="shared" si="11"/>
        <v>P01S2A03</v>
      </c>
      <c r="BG91" s="53">
        <v>1</v>
      </c>
      <c r="BH91" s="53">
        <v>2</v>
      </c>
      <c r="BI91" s="173">
        <v>3</v>
      </c>
      <c r="BJ91" s="173">
        <v>28</v>
      </c>
    </row>
    <row r="92" spans="1:62">
      <c r="A92" s="38" t="str">
        <f t="shared" si="8"/>
        <v>P06S2A54</v>
      </c>
      <c r="B92" s="38" t="s">
        <v>130</v>
      </c>
      <c r="C92" s="38">
        <v>6</v>
      </c>
      <c r="D92" s="38">
        <v>2</v>
      </c>
      <c r="E92" s="38">
        <v>54</v>
      </c>
      <c r="F92" s="38">
        <v>45</v>
      </c>
      <c r="L92" s="36" t="str">
        <f t="shared" si="9"/>
        <v>P2S1A14</v>
      </c>
      <c r="M92" s="49">
        <v>2</v>
      </c>
      <c r="N92" s="49">
        <v>1</v>
      </c>
      <c r="O92" s="49">
        <v>1</v>
      </c>
      <c r="P92" s="50" t="s">
        <v>46</v>
      </c>
      <c r="Q92" s="51">
        <v>2420</v>
      </c>
      <c r="AZ92" s="53" t="str">
        <f t="shared" si="10"/>
        <v>P01S2A04</v>
      </c>
      <c r="BA92" s="53">
        <v>1</v>
      </c>
      <c r="BB92" s="53">
        <v>2</v>
      </c>
      <c r="BC92" s="53">
        <v>4</v>
      </c>
      <c r="BD92" s="53">
        <v>3</v>
      </c>
      <c r="BF92" s="53" t="str">
        <f t="shared" si="11"/>
        <v>P01S2A04</v>
      </c>
      <c r="BG92" s="53">
        <v>1</v>
      </c>
      <c r="BH92" s="53">
        <v>2</v>
      </c>
      <c r="BI92" s="173">
        <v>4</v>
      </c>
      <c r="BJ92" s="173">
        <v>24</v>
      </c>
    </row>
    <row r="93" spans="1:62">
      <c r="A93" s="38" t="str">
        <f t="shared" si="8"/>
        <v>P06S2A55</v>
      </c>
      <c r="B93" s="38" t="s">
        <v>130</v>
      </c>
      <c r="C93" s="38">
        <v>6</v>
      </c>
      <c r="D93" s="38">
        <v>2</v>
      </c>
      <c r="E93" s="38">
        <v>55</v>
      </c>
      <c r="F93" s="38">
        <v>48</v>
      </c>
      <c r="L93" s="36" t="str">
        <f t="shared" si="9"/>
        <v>P2S1A15</v>
      </c>
      <c r="M93" s="49">
        <v>2</v>
      </c>
      <c r="N93" s="49">
        <v>1</v>
      </c>
      <c r="O93" s="49">
        <v>1</v>
      </c>
      <c r="P93" s="50" t="s">
        <v>47</v>
      </c>
      <c r="Q93" s="51">
        <v>1301</v>
      </c>
      <c r="AZ93" s="53" t="str">
        <f t="shared" si="10"/>
        <v>P01S2A05</v>
      </c>
      <c r="BA93" s="53">
        <v>1</v>
      </c>
      <c r="BB93" s="53">
        <v>2</v>
      </c>
      <c r="BC93" s="53">
        <v>5</v>
      </c>
      <c r="BD93" s="53">
        <v>5</v>
      </c>
      <c r="BF93" s="53" t="str">
        <f t="shared" si="11"/>
        <v>P01S2A05</v>
      </c>
      <c r="BG93" s="53">
        <v>1</v>
      </c>
      <c r="BH93" s="53">
        <v>2</v>
      </c>
      <c r="BI93" s="173">
        <v>5</v>
      </c>
      <c r="BJ93" s="173">
        <v>20</v>
      </c>
    </row>
    <row r="94" spans="1:62">
      <c r="A94" s="38" t="str">
        <f t="shared" si="8"/>
        <v>P06S2A56</v>
      </c>
      <c r="B94" s="38" t="s">
        <v>130</v>
      </c>
      <c r="C94" s="38">
        <v>6</v>
      </c>
      <c r="D94" s="38">
        <v>2</v>
      </c>
      <c r="E94" s="38">
        <v>56</v>
      </c>
      <c r="F94" s="38">
        <v>50</v>
      </c>
      <c r="L94" s="36" t="str">
        <f t="shared" si="9"/>
        <v>P2S1A16</v>
      </c>
      <c r="M94" s="49">
        <v>2</v>
      </c>
      <c r="N94" s="49">
        <v>1</v>
      </c>
      <c r="O94" s="49">
        <v>1</v>
      </c>
      <c r="P94" s="50" t="s">
        <v>48</v>
      </c>
      <c r="Q94" s="51">
        <v>1301</v>
      </c>
      <c r="AZ94" s="53" t="str">
        <f t="shared" si="10"/>
        <v>P01S2A06</v>
      </c>
      <c r="BA94" s="53">
        <v>1</v>
      </c>
      <c r="BB94" s="53">
        <v>2</v>
      </c>
      <c r="BC94" s="53">
        <v>6</v>
      </c>
      <c r="BD94" s="53">
        <v>5</v>
      </c>
      <c r="BF94" s="53" t="str">
        <f t="shared" si="11"/>
        <v>P01S2A06</v>
      </c>
      <c r="BG94" s="53">
        <v>1</v>
      </c>
      <c r="BH94" s="53">
        <v>2</v>
      </c>
      <c r="BI94" s="173">
        <v>6</v>
      </c>
      <c r="BJ94" s="173">
        <v>17</v>
      </c>
    </row>
    <row r="95" spans="1:62">
      <c r="A95" s="38" t="str">
        <f t="shared" si="8"/>
        <v>P06S2A57</v>
      </c>
      <c r="B95" s="38" t="s">
        <v>130</v>
      </c>
      <c r="C95" s="38">
        <v>6</v>
      </c>
      <c r="D95" s="38">
        <v>2</v>
      </c>
      <c r="E95" s="38">
        <v>57</v>
      </c>
      <c r="F95" s="38">
        <v>53</v>
      </c>
      <c r="L95" s="36" t="str">
        <f t="shared" si="9"/>
        <v>P2S1A17</v>
      </c>
      <c r="M95" s="49">
        <v>2</v>
      </c>
      <c r="N95" s="49">
        <v>1</v>
      </c>
      <c r="O95" s="49">
        <v>1</v>
      </c>
      <c r="P95" s="50" t="s">
        <v>49</v>
      </c>
      <c r="Q95" s="51">
        <v>1301</v>
      </c>
      <c r="AZ95" s="53" t="str">
        <f t="shared" si="10"/>
        <v>P01S2A07</v>
      </c>
      <c r="BA95" s="53">
        <v>1</v>
      </c>
      <c r="BB95" s="53">
        <v>2</v>
      </c>
      <c r="BC95" s="53">
        <v>7</v>
      </c>
      <c r="BD95" s="53">
        <v>5</v>
      </c>
      <c r="BF95" s="53" t="str">
        <f t="shared" si="11"/>
        <v>P01S2A07</v>
      </c>
      <c r="BG95" s="53">
        <v>1</v>
      </c>
      <c r="BH95" s="53">
        <v>2</v>
      </c>
      <c r="BI95" s="173">
        <v>7</v>
      </c>
      <c r="BJ95" s="173">
        <v>15</v>
      </c>
    </row>
    <row r="96" spans="1:62">
      <c r="A96" s="38" t="str">
        <f t="shared" si="8"/>
        <v>P06S2A58</v>
      </c>
      <c r="B96" s="38" t="s">
        <v>130</v>
      </c>
      <c r="C96" s="38">
        <v>6</v>
      </c>
      <c r="D96" s="38">
        <v>2</v>
      </c>
      <c r="E96" s="38">
        <v>58</v>
      </c>
      <c r="F96" s="38">
        <v>57</v>
      </c>
      <c r="L96" s="36" t="str">
        <f t="shared" si="9"/>
        <v>P2S1A18</v>
      </c>
      <c r="M96" s="49">
        <v>2</v>
      </c>
      <c r="N96" s="49">
        <v>1</v>
      </c>
      <c r="O96" s="49">
        <v>1</v>
      </c>
      <c r="P96" s="50" t="s">
        <v>50</v>
      </c>
      <c r="Q96" s="51">
        <v>1301</v>
      </c>
      <c r="AZ96" s="53" t="str">
        <f t="shared" si="10"/>
        <v>P01S2A08</v>
      </c>
      <c r="BA96" s="53">
        <v>1</v>
      </c>
      <c r="BB96" s="53">
        <v>2</v>
      </c>
      <c r="BC96" s="53">
        <v>8</v>
      </c>
      <c r="BD96" s="53">
        <v>5</v>
      </c>
      <c r="BF96" s="53" t="str">
        <f t="shared" si="11"/>
        <v>P01S2A08</v>
      </c>
      <c r="BG96" s="53">
        <v>1</v>
      </c>
      <c r="BH96" s="53">
        <v>2</v>
      </c>
      <c r="BI96" s="173">
        <v>8</v>
      </c>
      <c r="BJ96" s="173">
        <v>16</v>
      </c>
    </row>
    <row r="97" spans="1:62">
      <c r="A97" s="38" t="str">
        <f t="shared" si="8"/>
        <v>P06S2A59</v>
      </c>
      <c r="B97" s="38" t="s">
        <v>130</v>
      </c>
      <c r="C97" s="38">
        <v>6</v>
      </c>
      <c r="D97" s="38">
        <v>2</v>
      </c>
      <c r="E97" s="38">
        <v>59</v>
      </c>
      <c r="F97" s="38">
        <v>63</v>
      </c>
      <c r="L97" s="36" t="str">
        <f t="shared" si="9"/>
        <v>P2S1A19</v>
      </c>
      <c r="M97" s="49">
        <v>2</v>
      </c>
      <c r="N97" s="49">
        <v>1</v>
      </c>
      <c r="O97" s="49">
        <v>1</v>
      </c>
      <c r="P97" s="50" t="s">
        <v>51</v>
      </c>
      <c r="Q97" s="51">
        <v>1301</v>
      </c>
      <c r="AZ97" s="53" t="str">
        <f t="shared" si="10"/>
        <v>P01S2A09</v>
      </c>
      <c r="BA97" s="53">
        <v>1</v>
      </c>
      <c r="BB97" s="53">
        <v>2</v>
      </c>
      <c r="BC97" s="53">
        <v>9</v>
      </c>
      <c r="BD97" s="53">
        <v>5</v>
      </c>
      <c r="BF97" s="53" t="str">
        <f t="shared" si="11"/>
        <v>P01S2A09</v>
      </c>
      <c r="BG97" s="53">
        <v>1</v>
      </c>
      <c r="BH97" s="53">
        <v>2</v>
      </c>
      <c r="BI97" s="173">
        <v>9</v>
      </c>
      <c r="BJ97" s="173">
        <v>16</v>
      </c>
    </row>
    <row r="98" spans="1:62">
      <c r="A98" s="38" t="str">
        <f t="shared" ref="A98:A129" si="12">"P"&amp;REPT("0",2-LEN(C98))&amp;C98&amp;"S"&amp;D98&amp;"A"&amp;REPT("0",2-LEN(E98))&amp;E98</f>
        <v>P06S2A60</v>
      </c>
      <c r="B98" s="38" t="s">
        <v>130</v>
      </c>
      <c r="C98" s="38">
        <v>6</v>
      </c>
      <c r="D98" s="38">
        <v>2</v>
      </c>
      <c r="E98" s="38">
        <v>60</v>
      </c>
      <c r="F98" s="38">
        <v>71</v>
      </c>
      <c r="L98" s="36" t="str">
        <f t="shared" ref="L98:L129" si="13">"P"&amp;M98&amp;"S"&amp;O98&amp;"A"&amp;REPT("0",2-LEN(P98))&amp;P98</f>
        <v>P2S1A20</v>
      </c>
      <c r="M98" s="49">
        <v>2</v>
      </c>
      <c r="N98" s="49">
        <v>1</v>
      </c>
      <c r="O98" s="49">
        <v>1</v>
      </c>
      <c r="P98" s="50" t="s">
        <v>52</v>
      </c>
      <c r="Q98" s="51">
        <v>1554</v>
      </c>
      <c r="AZ98" s="53" t="str">
        <f t="shared" ref="AZ98:AZ129" si="14">"P"&amp;REPT("0",2-LEN(BA98))&amp;BA98&amp;"S"&amp;BB98&amp;"A"&amp;REPT("0",2-LEN(BC98))&amp;BC98</f>
        <v>P01S2A10</v>
      </c>
      <c r="BA98" s="53">
        <v>1</v>
      </c>
      <c r="BB98" s="53">
        <v>2</v>
      </c>
      <c r="BC98" s="53">
        <v>10</v>
      </c>
      <c r="BD98" s="53">
        <v>5</v>
      </c>
      <c r="BF98" s="53" t="str">
        <f t="shared" si="11"/>
        <v>P01S2A10</v>
      </c>
      <c r="BG98" s="53">
        <v>1</v>
      </c>
      <c r="BH98" s="53">
        <v>2</v>
      </c>
      <c r="BI98" s="173">
        <v>10</v>
      </c>
      <c r="BJ98" s="173">
        <v>17</v>
      </c>
    </row>
    <row r="99" spans="1:62">
      <c r="A99" s="38" t="str">
        <f t="shared" si="12"/>
        <v>P06S2A61</v>
      </c>
      <c r="B99" s="38" t="s">
        <v>130</v>
      </c>
      <c r="C99" s="38">
        <v>6</v>
      </c>
      <c r="D99" s="38">
        <v>2</v>
      </c>
      <c r="E99" s="38">
        <v>61</v>
      </c>
      <c r="F99" s="38">
        <v>79</v>
      </c>
      <c r="L99" s="36" t="str">
        <f t="shared" si="13"/>
        <v>P2S1A21</v>
      </c>
      <c r="M99" s="49">
        <v>2</v>
      </c>
      <c r="N99" s="49">
        <v>1</v>
      </c>
      <c r="O99" s="49">
        <v>1</v>
      </c>
      <c r="P99" s="50" t="s">
        <v>53</v>
      </c>
      <c r="Q99" s="51">
        <v>1554</v>
      </c>
      <c r="AZ99" s="53" t="str">
        <f t="shared" si="14"/>
        <v>P01S2A11</v>
      </c>
      <c r="BA99" s="53">
        <v>1</v>
      </c>
      <c r="BB99" s="53">
        <v>2</v>
      </c>
      <c r="BC99" s="53">
        <v>11</v>
      </c>
      <c r="BD99" s="53">
        <v>5</v>
      </c>
      <c r="BF99" s="53" t="str">
        <f t="shared" si="11"/>
        <v>P01S2A11</v>
      </c>
      <c r="BG99" s="53">
        <v>1</v>
      </c>
      <c r="BH99" s="53">
        <v>2</v>
      </c>
      <c r="BI99" s="173">
        <v>11</v>
      </c>
      <c r="BJ99" s="173">
        <v>18</v>
      </c>
    </row>
    <row r="100" spans="1:62">
      <c r="A100" s="38" t="str">
        <f t="shared" si="12"/>
        <v>P06S2A62</v>
      </c>
      <c r="B100" s="38" t="s">
        <v>130</v>
      </c>
      <c r="C100" s="38">
        <v>6</v>
      </c>
      <c r="D100" s="38">
        <v>2</v>
      </c>
      <c r="E100" s="38">
        <v>62</v>
      </c>
      <c r="F100" s="38">
        <v>89</v>
      </c>
      <c r="L100" s="36" t="str">
        <f t="shared" si="13"/>
        <v>P2S1A22</v>
      </c>
      <c r="M100" s="49">
        <v>2</v>
      </c>
      <c r="N100" s="49">
        <v>1</v>
      </c>
      <c r="O100" s="49">
        <v>1</v>
      </c>
      <c r="P100" s="50" t="s">
        <v>54</v>
      </c>
      <c r="Q100" s="51">
        <v>1554</v>
      </c>
      <c r="AZ100" s="53" t="str">
        <f t="shared" si="14"/>
        <v>P01S2A12</v>
      </c>
      <c r="BA100" s="53">
        <v>1</v>
      </c>
      <c r="BB100" s="53">
        <v>2</v>
      </c>
      <c r="BC100" s="53">
        <v>12</v>
      </c>
      <c r="BD100" s="53">
        <v>5</v>
      </c>
      <c r="BF100" s="53" t="str">
        <f t="shared" si="11"/>
        <v>P01S2A12</v>
      </c>
      <c r="BG100" s="53">
        <v>1</v>
      </c>
      <c r="BH100" s="53">
        <v>2</v>
      </c>
      <c r="BI100" s="173">
        <v>12</v>
      </c>
      <c r="BJ100" s="173">
        <v>18</v>
      </c>
    </row>
    <row r="101" spans="1:62">
      <c r="A101" s="38" t="str">
        <f t="shared" si="12"/>
        <v>P06S2A63</v>
      </c>
      <c r="B101" s="38" t="s">
        <v>130</v>
      </c>
      <c r="C101" s="38">
        <v>6</v>
      </c>
      <c r="D101" s="38">
        <v>2</v>
      </c>
      <c r="E101" s="38">
        <v>63</v>
      </c>
      <c r="F101" s="38">
        <v>99</v>
      </c>
      <c r="L101" s="36" t="str">
        <f t="shared" si="13"/>
        <v>P2S1A23</v>
      </c>
      <c r="M101" s="49">
        <v>2</v>
      </c>
      <c r="N101" s="49">
        <v>1</v>
      </c>
      <c r="O101" s="49">
        <v>1</v>
      </c>
      <c r="P101" s="50" t="s">
        <v>55</v>
      </c>
      <c r="Q101" s="51">
        <v>1554</v>
      </c>
      <c r="AZ101" s="53" t="str">
        <f t="shared" si="14"/>
        <v>P01S2A13</v>
      </c>
      <c r="BA101" s="53">
        <v>1</v>
      </c>
      <c r="BB101" s="53">
        <v>2</v>
      </c>
      <c r="BC101" s="53">
        <v>13</v>
      </c>
      <c r="BD101" s="53">
        <v>5</v>
      </c>
      <c r="BF101" s="53" t="str">
        <f t="shared" si="11"/>
        <v>P01S2A13</v>
      </c>
      <c r="BG101" s="53">
        <v>1</v>
      </c>
      <c r="BH101" s="53">
        <v>2</v>
      </c>
      <c r="BI101" s="173">
        <v>13</v>
      </c>
      <c r="BJ101" s="173">
        <v>20</v>
      </c>
    </row>
    <row r="102" spans="1:62">
      <c r="A102" s="38" t="str">
        <f t="shared" si="12"/>
        <v>P06S2A64</v>
      </c>
      <c r="B102" s="38" t="s">
        <v>130</v>
      </c>
      <c r="C102" s="38">
        <v>6</v>
      </c>
      <c r="D102" s="38">
        <v>2</v>
      </c>
      <c r="E102" s="38">
        <v>64</v>
      </c>
      <c r="F102" s="38">
        <v>110</v>
      </c>
      <c r="L102" s="36" t="str">
        <f t="shared" si="13"/>
        <v>P2S1A24</v>
      </c>
      <c r="M102" s="49">
        <v>2</v>
      </c>
      <c r="N102" s="49">
        <v>1</v>
      </c>
      <c r="O102" s="49">
        <v>1</v>
      </c>
      <c r="P102" s="50" t="s">
        <v>56</v>
      </c>
      <c r="Q102" s="51">
        <v>1554</v>
      </c>
      <c r="AZ102" s="53" t="str">
        <f t="shared" si="14"/>
        <v>P01S2A14</v>
      </c>
      <c r="BA102" s="53">
        <v>1</v>
      </c>
      <c r="BB102" s="53">
        <v>2</v>
      </c>
      <c r="BC102" s="53">
        <v>14</v>
      </c>
      <c r="BD102" s="53">
        <v>5</v>
      </c>
      <c r="BF102" s="53" t="str">
        <f t="shared" si="11"/>
        <v>P01S2A14</v>
      </c>
      <c r="BG102" s="53">
        <v>1</v>
      </c>
      <c r="BH102" s="53">
        <v>2</v>
      </c>
      <c r="BI102" s="173">
        <v>14</v>
      </c>
      <c r="BJ102" s="173">
        <v>22</v>
      </c>
    </row>
    <row r="103" spans="1:62">
      <c r="A103" s="38" t="str">
        <f t="shared" si="12"/>
        <v>P06S2A65</v>
      </c>
      <c r="B103" s="38" t="s">
        <v>130</v>
      </c>
      <c r="C103" s="38">
        <v>6</v>
      </c>
      <c r="D103" s="38">
        <v>2</v>
      </c>
      <c r="E103" s="38">
        <v>65</v>
      </c>
      <c r="F103" s="38">
        <v>120</v>
      </c>
      <c r="L103" s="36" t="str">
        <f t="shared" si="13"/>
        <v>P2S1A25</v>
      </c>
      <c r="M103" s="49">
        <v>2</v>
      </c>
      <c r="N103" s="49">
        <v>1</v>
      </c>
      <c r="O103" s="49">
        <v>1</v>
      </c>
      <c r="P103" s="50" t="s">
        <v>57</v>
      </c>
      <c r="Q103" s="51">
        <v>1634</v>
      </c>
      <c r="AZ103" s="53" t="str">
        <f t="shared" si="14"/>
        <v>P01S2A15</v>
      </c>
      <c r="BA103" s="53">
        <v>1</v>
      </c>
      <c r="BB103" s="53">
        <v>2</v>
      </c>
      <c r="BC103" s="53">
        <v>15</v>
      </c>
      <c r="BD103" s="53">
        <v>7</v>
      </c>
      <c r="BF103" s="53" t="str">
        <f t="shared" si="11"/>
        <v>P01S2A15</v>
      </c>
      <c r="BG103" s="53">
        <v>1</v>
      </c>
      <c r="BH103" s="53">
        <v>2</v>
      </c>
      <c r="BI103" s="173">
        <v>15</v>
      </c>
      <c r="BJ103" s="173">
        <v>24</v>
      </c>
    </row>
    <row r="104" spans="1:62">
      <c r="A104" s="38" t="str">
        <f t="shared" si="12"/>
        <v>P10S1A15</v>
      </c>
      <c r="B104" s="38" t="s">
        <v>130</v>
      </c>
      <c r="C104" s="38">
        <v>10</v>
      </c>
      <c r="D104" s="38">
        <v>1</v>
      </c>
      <c r="E104" s="38">
        <v>15</v>
      </c>
      <c r="F104" s="38">
        <v>12</v>
      </c>
      <c r="L104" s="36" t="str">
        <f t="shared" si="13"/>
        <v>P2S1A26</v>
      </c>
      <c r="M104" s="49">
        <v>2</v>
      </c>
      <c r="N104" s="49">
        <v>1</v>
      </c>
      <c r="O104" s="49">
        <v>1</v>
      </c>
      <c r="P104" s="50" t="s">
        <v>58</v>
      </c>
      <c r="Q104" s="51">
        <v>1634</v>
      </c>
      <c r="AZ104" s="53" t="str">
        <f t="shared" si="14"/>
        <v>P01S2A16</v>
      </c>
      <c r="BA104" s="53">
        <v>1</v>
      </c>
      <c r="BB104" s="53">
        <v>2</v>
      </c>
      <c r="BC104" s="53">
        <v>16</v>
      </c>
      <c r="BD104" s="53">
        <v>7</v>
      </c>
      <c r="BF104" s="53" t="str">
        <f t="shared" si="11"/>
        <v>P01S2A16</v>
      </c>
      <c r="BG104" s="53">
        <v>1</v>
      </c>
      <c r="BH104" s="53">
        <v>2</v>
      </c>
      <c r="BI104" s="173">
        <v>16</v>
      </c>
      <c r="BJ104" s="173">
        <v>27</v>
      </c>
    </row>
    <row r="105" spans="1:62">
      <c r="A105" s="38" t="str">
        <f t="shared" si="12"/>
        <v>P10S1A16</v>
      </c>
      <c r="B105" s="38" t="s">
        <v>130</v>
      </c>
      <c r="C105" s="38">
        <v>10</v>
      </c>
      <c r="D105" s="38">
        <v>1</v>
      </c>
      <c r="E105" s="38">
        <v>16</v>
      </c>
      <c r="F105" s="38">
        <v>12</v>
      </c>
      <c r="L105" s="36" t="str">
        <f t="shared" si="13"/>
        <v>P2S1A27</v>
      </c>
      <c r="M105" s="49">
        <v>2</v>
      </c>
      <c r="N105" s="49">
        <v>1</v>
      </c>
      <c r="O105" s="49">
        <v>1</v>
      </c>
      <c r="P105" s="50" t="s">
        <v>59</v>
      </c>
      <c r="Q105" s="51">
        <v>1634</v>
      </c>
      <c r="AZ105" s="53" t="str">
        <f t="shared" si="14"/>
        <v>P01S2A17</v>
      </c>
      <c r="BA105" s="53">
        <v>1</v>
      </c>
      <c r="BB105" s="53">
        <v>2</v>
      </c>
      <c r="BC105" s="53">
        <v>17</v>
      </c>
      <c r="BD105" s="53">
        <v>7</v>
      </c>
      <c r="BF105" s="53" t="str">
        <f t="shared" si="11"/>
        <v>P01S2A17</v>
      </c>
      <c r="BG105" s="53">
        <v>1</v>
      </c>
      <c r="BH105" s="53">
        <v>2</v>
      </c>
      <c r="BI105" s="173">
        <v>17</v>
      </c>
      <c r="BJ105" s="173">
        <v>29</v>
      </c>
    </row>
    <row r="106" spans="1:62">
      <c r="A106" s="38" t="str">
        <f t="shared" si="12"/>
        <v>P10S1A17</v>
      </c>
      <c r="B106" s="38" t="s">
        <v>130</v>
      </c>
      <c r="C106" s="38">
        <v>10</v>
      </c>
      <c r="D106" s="38">
        <v>1</v>
      </c>
      <c r="E106" s="38">
        <v>17</v>
      </c>
      <c r="F106" s="38">
        <v>12</v>
      </c>
      <c r="L106" s="36" t="str">
        <f t="shared" si="13"/>
        <v>P2S1A28</v>
      </c>
      <c r="M106" s="49">
        <v>2</v>
      </c>
      <c r="N106" s="49">
        <v>1</v>
      </c>
      <c r="O106" s="49">
        <v>1</v>
      </c>
      <c r="P106" s="50" t="s">
        <v>60</v>
      </c>
      <c r="Q106" s="51">
        <v>1634</v>
      </c>
      <c r="AZ106" s="53" t="str">
        <f t="shared" si="14"/>
        <v>P01S2A18</v>
      </c>
      <c r="BA106" s="53">
        <v>1</v>
      </c>
      <c r="BB106" s="53">
        <v>2</v>
      </c>
      <c r="BC106" s="53">
        <v>18</v>
      </c>
      <c r="BD106" s="53">
        <v>7</v>
      </c>
      <c r="BF106" s="53" t="str">
        <f t="shared" si="11"/>
        <v>P01S2A18</v>
      </c>
      <c r="BG106" s="53">
        <v>1</v>
      </c>
      <c r="BH106" s="53">
        <v>2</v>
      </c>
      <c r="BI106" s="173">
        <v>18</v>
      </c>
      <c r="BJ106" s="173">
        <v>32</v>
      </c>
    </row>
    <row r="107" spans="1:62">
      <c r="A107" s="38" t="str">
        <f t="shared" si="12"/>
        <v>P10S1A18</v>
      </c>
      <c r="B107" s="38" t="s">
        <v>130</v>
      </c>
      <c r="C107" s="38">
        <v>10</v>
      </c>
      <c r="D107" s="38">
        <v>1</v>
      </c>
      <c r="E107" s="38">
        <v>18</v>
      </c>
      <c r="F107" s="38">
        <v>12</v>
      </c>
      <c r="L107" s="36" t="str">
        <f t="shared" si="13"/>
        <v>P2S1A29</v>
      </c>
      <c r="M107" s="49">
        <v>2</v>
      </c>
      <c r="N107" s="49">
        <v>1</v>
      </c>
      <c r="O107" s="49">
        <v>1</v>
      </c>
      <c r="P107" s="50" t="s">
        <v>61</v>
      </c>
      <c r="Q107" s="51">
        <v>1634</v>
      </c>
      <c r="AZ107" s="53" t="str">
        <f t="shared" si="14"/>
        <v>P01S2A19</v>
      </c>
      <c r="BA107" s="53">
        <v>1</v>
      </c>
      <c r="BB107" s="53">
        <v>2</v>
      </c>
      <c r="BC107" s="53">
        <v>19</v>
      </c>
      <c r="BD107" s="53">
        <v>7</v>
      </c>
      <c r="BF107" s="53" t="str">
        <f t="shared" si="11"/>
        <v>P01S2A19</v>
      </c>
      <c r="BG107" s="53">
        <v>1</v>
      </c>
      <c r="BH107" s="53">
        <v>2</v>
      </c>
      <c r="BI107" s="173">
        <v>19</v>
      </c>
      <c r="BJ107" s="173">
        <v>35</v>
      </c>
    </row>
    <row r="108" spans="1:62">
      <c r="A108" s="38" t="str">
        <f t="shared" si="12"/>
        <v>P10S1A19</v>
      </c>
      <c r="B108" s="38" t="s">
        <v>130</v>
      </c>
      <c r="C108" s="38">
        <v>10</v>
      </c>
      <c r="D108" s="38">
        <v>1</v>
      </c>
      <c r="E108" s="38">
        <v>19</v>
      </c>
      <c r="F108" s="38">
        <v>12</v>
      </c>
      <c r="L108" s="36" t="str">
        <f t="shared" si="13"/>
        <v>P2S1A30</v>
      </c>
      <c r="M108" s="49">
        <v>2</v>
      </c>
      <c r="N108" s="49">
        <v>1</v>
      </c>
      <c r="O108" s="49">
        <v>1</v>
      </c>
      <c r="P108" s="50" t="s">
        <v>62</v>
      </c>
      <c r="Q108" s="51">
        <v>2093</v>
      </c>
      <c r="AZ108" s="53" t="str">
        <f t="shared" si="14"/>
        <v>P01S2A20</v>
      </c>
      <c r="BA108" s="53">
        <v>1</v>
      </c>
      <c r="BB108" s="53">
        <v>2</v>
      </c>
      <c r="BC108" s="53">
        <v>20</v>
      </c>
      <c r="BD108" s="53">
        <v>9</v>
      </c>
      <c r="BF108" s="53" t="str">
        <f t="shared" si="11"/>
        <v>P01S2A20</v>
      </c>
      <c r="BG108" s="53">
        <v>1</v>
      </c>
      <c r="BH108" s="53">
        <v>2</v>
      </c>
      <c r="BI108" s="173">
        <v>20</v>
      </c>
      <c r="BJ108" s="173">
        <v>39</v>
      </c>
    </row>
    <row r="109" spans="1:62">
      <c r="A109" s="38" t="str">
        <f t="shared" si="12"/>
        <v>P10S1A20</v>
      </c>
      <c r="B109" s="38" t="s">
        <v>130</v>
      </c>
      <c r="C109" s="38">
        <v>10</v>
      </c>
      <c r="D109" s="38">
        <v>1</v>
      </c>
      <c r="E109" s="38">
        <v>20</v>
      </c>
      <c r="F109" s="38">
        <v>12</v>
      </c>
      <c r="L109" s="36" t="str">
        <f t="shared" si="13"/>
        <v>P2S1A31</v>
      </c>
      <c r="M109" s="49">
        <v>2</v>
      </c>
      <c r="N109" s="49">
        <v>1</v>
      </c>
      <c r="O109" s="49">
        <v>1</v>
      </c>
      <c r="P109" s="50" t="s">
        <v>63</v>
      </c>
      <c r="Q109" s="51">
        <v>2093</v>
      </c>
      <c r="AZ109" s="53" t="str">
        <f t="shared" si="14"/>
        <v>P01S2A21</v>
      </c>
      <c r="BA109" s="53">
        <v>1</v>
      </c>
      <c r="BB109" s="53">
        <v>2</v>
      </c>
      <c r="BC109" s="53">
        <v>21</v>
      </c>
      <c r="BD109" s="53">
        <v>9</v>
      </c>
      <c r="BF109" s="53" t="str">
        <f t="shared" si="11"/>
        <v>P01S2A21</v>
      </c>
      <c r="BG109" s="53">
        <v>1</v>
      </c>
      <c r="BH109" s="53">
        <v>2</v>
      </c>
      <c r="BI109" s="173">
        <v>21</v>
      </c>
      <c r="BJ109" s="173">
        <v>43</v>
      </c>
    </row>
    <row r="110" spans="1:62">
      <c r="A110" s="38" t="str">
        <f t="shared" si="12"/>
        <v>P10S1A21</v>
      </c>
      <c r="B110" s="38" t="s">
        <v>130</v>
      </c>
      <c r="C110" s="38">
        <v>10</v>
      </c>
      <c r="D110" s="38">
        <v>1</v>
      </c>
      <c r="E110" s="38">
        <v>21</v>
      </c>
      <c r="F110" s="38">
        <v>12</v>
      </c>
      <c r="L110" s="36" t="str">
        <f t="shared" si="13"/>
        <v>P2S1A32</v>
      </c>
      <c r="M110" s="49">
        <v>2</v>
      </c>
      <c r="N110" s="49">
        <v>1</v>
      </c>
      <c r="O110" s="49">
        <v>1</v>
      </c>
      <c r="P110" s="50" t="s">
        <v>64</v>
      </c>
      <c r="Q110" s="51">
        <v>2093</v>
      </c>
      <c r="AZ110" s="53" t="str">
        <f t="shared" si="14"/>
        <v>P01S2A22</v>
      </c>
      <c r="BA110" s="53">
        <v>1</v>
      </c>
      <c r="BB110" s="53">
        <v>2</v>
      </c>
      <c r="BC110" s="53">
        <v>22</v>
      </c>
      <c r="BD110" s="53">
        <v>9</v>
      </c>
      <c r="BF110" s="53" t="str">
        <f t="shared" si="11"/>
        <v>P01S2A22</v>
      </c>
      <c r="BG110" s="53">
        <v>1</v>
      </c>
      <c r="BH110" s="53">
        <v>2</v>
      </c>
      <c r="BI110" s="173">
        <v>22</v>
      </c>
      <c r="BJ110" s="173">
        <v>47</v>
      </c>
    </row>
    <row r="111" spans="1:62">
      <c r="A111" s="38" t="str">
        <f t="shared" si="12"/>
        <v>P10S1A22</v>
      </c>
      <c r="B111" s="38" t="s">
        <v>130</v>
      </c>
      <c r="C111" s="38">
        <v>10</v>
      </c>
      <c r="D111" s="38">
        <v>1</v>
      </c>
      <c r="E111" s="38">
        <v>22</v>
      </c>
      <c r="F111" s="38">
        <v>12</v>
      </c>
      <c r="L111" s="36" t="str">
        <f t="shared" si="13"/>
        <v>P2S1A33</v>
      </c>
      <c r="M111" s="49">
        <v>2</v>
      </c>
      <c r="N111" s="49">
        <v>1</v>
      </c>
      <c r="O111" s="49">
        <v>1</v>
      </c>
      <c r="P111" s="50" t="s">
        <v>65</v>
      </c>
      <c r="Q111" s="51">
        <v>2093</v>
      </c>
      <c r="AZ111" s="53" t="str">
        <f t="shared" si="14"/>
        <v>P01S2A23</v>
      </c>
      <c r="BA111" s="53">
        <v>1</v>
      </c>
      <c r="BB111" s="53">
        <v>2</v>
      </c>
      <c r="BC111" s="53">
        <v>23</v>
      </c>
      <c r="BD111" s="53">
        <v>10</v>
      </c>
      <c r="BF111" s="53" t="str">
        <f t="shared" si="11"/>
        <v>P01S2A23</v>
      </c>
      <c r="BG111" s="53">
        <v>1</v>
      </c>
      <c r="BH111" s="53">
        <v>2</v>
      </c>
      <c r="BI111" s="173">
        <v>23</v>
      </c>
      <c r="BJ111" s="173">
        <v>54</v>
      </c>
    </row>
    <row r="112" spans="1:62">
      <c r="A112" s="38" t="str">
        <f t="shared" si="12"/>
        <v>P10S1A23</v>
      </c>
      <c r="B112" s="38" t="s">
        <v>130</v>
      </c>
      <c r="C112" s="38">
        <v>10</v>
      </c>
      <c r="D112" s="38">
        <v>1</v>
      </c>
      <c r="E112" s="38">
        <v>23</v>
      </c>
      <c r="F112" s="38">
        <v>12</v>
      </c>
      <c r="L112" s="36" t="str">
        <f t="shared" si="13"/>
        <v>P2S1A34</v>
      </c>
      <c r="M112" s="49">
        <v>2</v>
      </c>
      <c r="N112" s="49">
        <v>1</v>
      </c>
      <c r="O112" s="49">
        <v>1</v>
      </c>
      <c r="P112" s="50" t="s">
        <v>66</v>
      </c>
      <c r="Q112" s="51">
        <v>2093</v>
      </c>
      <c r="AZ112" s="53" t="str">
        <f t="shared" si="14"/>
        <v>P01S2A24</v>
      </c>
      <c r="BA112" s="53">
        <v>1</v>
      </c>
      <c r="BB112" s="53">
        <v>2</v>
      </c>
      <c r="BC112" s="53">
        <v>24</v>
      </c>
      <c r="BD112" s="53">
        <v>10</v>
      </c>
      <c r="BF112" s="53" t="str">
        <f t="shared" si="11"/>
        <v>P01S2A24</v>
      </c>
      <c r="BG112" s="53">
        <v>1</v>
      </c>
      <c r="BH112" s="53">
        <v>2</v>
      </c>
      <c r="BI112" s="173">
        <v>24</v>
      </c>
      <c r="BJ112" s="173">
        <v>61</v>
      </c>
    </row>
    <row r="113" spans="1:62">
      <c r="A113" s="38" t="str">
        <f t="shared" si="12"/>
        <v>P10S1A24</v>
      </c>
      <c r="B113" s="38" t="s">
        <v>130</v>
      </c>
      <c r="C113" s="38">
        <v>10</v>
      </c>
      <c r="D113" s="38">
        <v>1</v>
      </c>
      <c r="E113" s="38">
        <v>24</v>
      </c>
      <c r="F113" s="38">
        <v>12</v>
      </c>
      <c r="L113" s="36" t="str">
        <f t="shared" si="13"/>
        <v>P2S1A35</v>
      </c>
      <c r="M113" s="49">
        <v>2</v>
      </c>
      <c r="N113" s="49">
        <v>1</v>
      </c>
      <c r="O113" s="49">
        <v>1</v>
      </c>
      <c r="P113" s="50" t="s">
        <v>67</v>
      </c>
      <c r="Q113" s="51">
        <v>2892</v>
      </c>
      <c r="AZ113" s="53" t="str">
        <f t="shared" si="14"/>
        <v>P01S2A25</v>
      </c>
      <c r="BA113" s="53">
        <v>1</v>
      </c>
      <c r="BB113" s="53">
        <v>2</v>
      </c>
      <c r="BC113" s="53">
        <v>25</v>
      </c>
      <c r="BD113" s="53">
        <v>16</v>
      </c>
      <c r="BF113" s="53" t="str">
        <f t="shared" si="11"/>
        <v>P01S2A25</v>
      </c>
      <c r="BG113" s="53">
        <v>1</v>
      </c>
      <c r="BH113" s="53">
        <v>2</v>
      </c>
      <c r="BI113" s="173">
        <v>25</v>
      </c>
      <c r="BJ113" s="173">
        <v>92</v>
      </c>
    </row>
    <row r="114" spans="1:62">
      <c r="A114" s="38" t="str">
        <f t="shared" si="12"/>
        <v>P10S1A25</v>
      </c>
      <c r="B114" s="38" t="s">
        <v>130</v>
      </c>
      <c r="C114" s="38">
        <v>10</v>
      </c>
      <c r="D114" s="38">
        <v>1</v>
      </c>
      <c r="E114" s="38">
        <v>25</v>
      </c>
      <c r="F114" s="38">
        <v>12</v>
      </c>
      <c r="L114" s="36" t="str">
        <f t="shared" si="13"/>
        <v>P2S1A36</v>
      </c>
      <c r="M114" s="49">
        <v>2</v>
      </c>
      <c r="N114" s="49">
        <v>1</v>
      </c>
      <c r="O114" s="49">
        <v>1</v>
      </c>
      <c r="P114" s="50" t="s">
        <v>68</v>
      </c>
      <c r="Q114" s="51">
        <v>2892</v>
      </c>
      <c r="AZ114" s="53" t="str">
        <f t="shared" si="14"/>
        <v>P01S2A26</v>
      </c>
      <c r="BA114" s="53">
        <v>1</v>
      </c>
      <c r="BB114" s="53">
        <v>2</v>
      </c>
      <c r="BC114" s="53">
        <v>26</v>
      </c>
      <c r="BD114" s="53">
        <v>16</v>
      </c>
      <c r="BF114" s="53" t="str">
        <f t="shared" si="11"/>
        <v>P01S2A26</v>
      </c>
      <c r="BG114" s="53">
        <v>1</v>
      </c>
      <c r="BH114" s="53">
        <v>2</v>
      </c>
      <c r="BI114" s="173">
        <v>26</v>
      </c>
      <c r="BJ114" s="173">
        <v>104</v>
      </c>
    </row>
    <row r="115" spans="1:62">
      <c r="A115" s="38" t="str">
        <f t="shared" si="12"/>
        <v>P10S1A26</v>
      </c>
      <c r="B115" s="38" t="s">
        <v>130</v>
      </c>
      <c r="C115" s="38">
        <v>10</v>
      </c>
      <c r="D115" s="38">
        <v>1</v>
      </c>
      <c r="E115" s="38">
        <v>26</v>
      </c>
      <c r="F115" s="38">
        <v>12</v>
      </c>
      <c r="L115" s="36" t="str">
        <f t="shared" si="13"/>
        <v>P2S1A37</v>
      </c>
      <c r="M115" s="49">
        <v>2</v>
      </c>
      <c r="N115" s="49">
        <v>1</v>
      </c>
      <c r="O115" s="49">
        <v>1</v>
      </c>
      <c r="P115" s="50" t="s">
        <v>69</v>
      </c>
      <c r="Q115" s="51">
        <v>2892</v>
      </c>
      <c r="AZ115" s="53" t="str">
        <f t="shared" si="14"/>
        <v>P01S2A27</v>
      </c>
      <c r="BA115" s="53">
        <v>1</v>
      </c>
      <c r="BB115" s="53">
        <v>2</v>
      </c>
      <c r="BC115" s="53">
        <v>27</v>
      </c>
      <c r="BD115" s="53">
        <v>16</v>
      </c>
      <c r="BF115" s="53" t="str">
        <f t="shared" si="11"/>
        <v>P01S2A27</v>
      </c>
      <c r="BG115" s="53">
        <v>1</v>
      </c>
      <c r="BH115" s="53">
        <v>2</v>
      </c>
      <c r="BI115" s="173">
        <v>27</v>
      </c>
      <c r="BJ115" s="173">
        <v>118</v>
      </c>
    </row>
    <row r="116" spans="1:62">
      <c r="A116" s="38" t="str">
        <f t="shared" si="12"/>
        <v>P10S1A27</v>
      </c>
      <c r="B116" s="38" t="s">
        <v>130</v>
      </c>
      <c r="C116" s="38">
        <v>10</v>
      </c>
      <c r="D116" s="38">
        <v>1</v>
      </c>
      <c r="E116" s="38">
        <v>27</v>
      </c>
      <c r="F116" s="38">
        <v>12</v>
      </c>
      <c r="L116" s="36" t="str">
        <f t="shared" si="13"/>
        <v>P2S1A38</v>
      </c>
      <c r="M116" s="49">
        <v>2</v>
      </c>
      <c r="N116" s="49">
        <v>1</v>
      </c>
      <c r="O116" s="49">
        <v>1</v>
      </c>
      <c r="P116" s="50" t="s">
        <v>70</v>
      </c>
      <c r="Q116" s="51">
        <v>2892</v>
      </c>
      <c r="AZ116" s="53" t="str">
        <f t="shared" si="14"/>
        <v>P01S2A28</v>
      </c>
      <c r="BA116" s="53">
        <v>1</v>
      </c>
      <c r="BB116" s="53">
        <v>2</v>
      </c>
      <c r="BC116" s="53">
        <v>28</v>
      </c>
      <c r="BD116" s="53">
        <v>17</v>
      </c>
      <c r="BF116" s="53" t="str">
        <f t="shared" si="11"/>
        <v>P01S2A28</v>
      </c>
      <c r="BG116" s="53">
        <v>1</v>
      </c>
      <c r="BH116" s="53">
        <v>2</v>
      </c>
      <c r="BI116" s="173">
        <v>28</v>
      </c>
      <c r="BJ116" s="173">
        <v>134</v>
      </c>
    </row>
    <row r="117" spans="1:62">
      <c r="A117" s="38" t="str">
        <f t="shared" si="12"/>
        <v>P10S1A28</v>
      </c>
      <c r="B117" s="38" t="s">
        <v>130</v>
      </c>
      <c r="C117" s="38">
        <v>10</v>
      </c>
      <c r="D117" s="38">
        <v>1</v>
      </c>
      <c r="E117" s="38">
        <v>28</v>
      </c>
      <c r="F117" s="38">
        <v>12</v>
      </c>
      <c r="L117" s="36" t="str">
        <f t="shared" si="13"/>
        <v>P2S1A39</v>
      </c>
      <c r="M117" s="49">
        <v>2</v>
      </c>
      <c r="N117" s="49">
        <v>1</v>
      </c>
      <c r="O117" s="49">
        <v>1</v>
      </c>
      <c r="P117" s="50" t="s">
        <v>71</v>
      </c>
      <c r="Q117" s="51">
        <v>2892</v>
      </c>
      <c r="AZ117" s="53" t="str">
        <f t="shared" si="14"/>
        <v>P01S2A29</v>
      </c>
      <c r="BA117" s="53">
        <v>1</v>
      </c>
      <c r="BB117" s="53">
        <v>2</v>
      </c>
      <c r="BC117" s="53">
        <v>29</v>
      </c>
      <c r="BD117" s="53">
        <v>17</v>
      </c>
      <c r="BF117" s="53" t="str">
        <f t="shared" si="11"/>
        <v>P01S2A29</v>
      </c>
      <c r="BG117" s="53">
        <v>1</v>
      </c>
      <c r="BH117" s="53">
        <v>2</v>
      </c>
      <c r="BI117" s="173">
        <v>29</v>
      </c>
      <c r="BJ117" s="173">
        <v>152</v>
      </c>
    </row>
    <row r="118" spans="1:62">
      <c r="A118" s="38" t="str">
        <f t="shared" si="12"/>
        <v>P10S1A29</v>
      </c>
      <c r="B118" s="38" t="s">
        <v>130</v>
      </c>
      <c r="C118" s="38">
        <v>10</v>
      </c>
      <c r="D118" s="38">
        <v>1</v>
      </c>
      <c r="E118" s="38">
        <v>29</v>
      </c>
      <c r="F118" s="38">
        <v>13</v>
      </c>
      <c r="L118" s="36" t="str">
        <f t="shared" si="13"/>
        <v>P2S1A40</v>
      </c>
      <c r="M118" s="49">
        <v>2</v>
      </c>
      <c r="N118" s="49">
        <v>1</v>
      </c>
      <c r="O118" s="49">
        <v>1</v>
      </c>
      <c r="P118" s="50" t="s">
        <v>72</v>
      </c>
      <c r="Q118" s="51">
        <v>3676</v>
      </c>
      <c r="AZ118" s="53" t="str">
        <f t="shared" si="14"/>
        <v>P01S2A30</v>
      </c>
      <c r="BA118" s="53">
        <v>1</v>
      </c>
      <c r="BB118" s="53">
        <v>2</v>
      </c>
      <c r="BC118" s="53">
        <v>30</v>
      </c>
      <c r="BD118" s="53">
        <v>28</v>
      </c>
      <c r="BF118" s="53" t="str">
        <f t="shared" si="11"/>
        <v>P01S2A30</v>
      </c>
      <c r="BG118" s="53">
        <v>1</v>
      </c>
      <c r="BH118" s="53">
        <v>2</v>
      </c>
      <c r="BI118" s="173">
        <v>30</v>
      </c>
      <c r="BJ118" s="173">
        <v>173</v>
      </c>
    </row>
    <row r="119" spans="1:62">
      <c r="A119" s="38" t="str">
        <f t="shared" si="12"/>
        <v>P10S1A30</v>
      </c>
      <c r="B119" s="38" t="s">
        <v>130</v>
      </c>
      <c r="C119" s="38">
        <v>10</v>
      </c>
      <c r="D119" s="38">
        <v>1</v>
      </c>
      <c r="E119" s="38">
        <v>30</v>
      </c>
      <c r="F119" s="38">
        <v>14</v>
      </c>
      <c r="L119" s="36" t="str">
        <f t="shared" si="13"/>
        <v>P2S1A41</v>
      </c>
      <c r="M119" s="49">
        <v>2</v>
      </c>
      <c r="N119" s="49">
        <v>1</v>
      </c>
      <c r="O119" s="49">
        <v>1</v>
      </c>
      <c r="P119" s="50" t="s">
        <v>73</v>
      </c>
      <c r="Q119" s="51">
        <v>3676</v>
      </c>
      <c r="AZ119" s="53" t="str">
        <f t="shared" si="14"/>
        <v>P01S2A31</v>
      </c>
      <c r="BA119" s="53">
        <v>1</v>
      </c>
      <c r="BB119" s="53">
        <v>2</v>
      </c>
      <c r="BC119" s="53">
        <v>31</v>
      </c>
      <c r="BD119" s="53">
        <v>28</v>
      </c>
      <c r="BF119" s="53" t="str">
        <f t="shared" si="11"/>
        <v>P01S2A31</v>
      </c>
      <c r="BG119" s="53">
        <v>1</v>
      </c>
      <c r="BH119" s="53">
        <v>2</v>
      </c>
      <c r="BI119" s="173">
        <v>31</v>
      </c>
      <c r="BJ119" s="173">
        <v>196</v>
      </c>
    </row>
    <row r="120" spans="1:62">
      <c r="A120" s="38" t="str">
        <f t="shared" si="12"/>
        <v>P10S1A31</v>
      </c>
      <c r="B120" s="38" t="s">
        <v>130</v>
      </c>
      <c r="C120" s="38">
        <v>10</v>
      </c>
      <c r="D120" s="38">
        <v>1</v>
      </c>
      <c r="E120" s="38">
        <v>31</v>
      </c>
      <c r="F120" s="38">
        <v>15</v>
      </c>
      <c r="L120" s="36" t="str">
        <f t="shared" si="13"/>
        <v>P2S1A42</v>
      </c>
      <c r="M120" s="49">
        <v>2</v>
      </c>
      <c r="N120" s="49">
        <v>1</v>
      </c>
      <c r="O120" s="49">
        <v>1</v>
      </c>
      <c r="P120" s="50" t="s">
        <v>74</v>
      </c>
      <c r="Q120" s="51">
        <v>3676</v>
      </c>
      <c r="AZ120" s="53" t="str">
        <f t="shared" si="14"/>
        <v>P01S2A32</v>
      </c>
      <c r="BA120" s="53">
        <v>1</v>
      </c>
      <c r="BB120" s="53">
        <v>2</v>
      </c>
      <c r="BC120" s="53">
        <v>32</v>
      </c>
      <c r="BD120" s="53">
        <v>29</v>
      </c>
      <c r="BF120" s="53" t="str">
        <f t="shared" si="11"/>
        <v>P01S2A32</v>
      </c>
      <c r="BG120" s="53">
        <v>1</v>
      </c>
      <c r="BH120" s="53">
        <v>2</v>
      </c>
      <c r="BI120" s="173">
        <v>32</v>
      </c>
      <c r="BJ120" s="173">
        <v>222</v>
      </c>
    </row>
    <row r="121" spans="1:62">
      <c r="A121" s="38" t="str">
        <f t="shared" si="12"/>
        <v>P10S1A32</v>
      </c>
      <c r="B121" s="38" t="s">
        <v>130</v>
      </c>
      <c r="C121" s="38">
        <v>10</v>
      </c>
      <c r="D121" s="38">
        <v>1</v>
      </c>
      <c r="E121" s="38">
        <v>32</v>
      </c>
      <c r="F121" s="38">
        <v>16</v>
      </c>
      <c r="L121" s="36" t="str">
        <f t="shared" si="13"/>
        <v>P2S1A43</v>
      </c>
      <c r="M121" s="49">
        <v>2</v>
      </c>
      <c r="N121" s="49">
        <v>1</v>
      </c>
      <c r="O121" s="49">
        <v>1</v>
      </c>
      <c r="P121" s="50" t="s">
        <v>75</v>
      </c>
      <c r="Q121" s="51">
        <v>3676</v>
      </c>
      <c r="AZ121" s="53" t="str">
        <f t="shared" si="14"/>
        <v>P01S2A33</v>
      </c>
      <c r="BA121" s="53">
        <v>1</v>
      </c>
      <c r="BB121" s="53">
        <v>2</v>
      </c>
      <c r="BC121" s="53">
        <v>33</v>
      </c>
      <c r="BD121" s="53">
        <v>29</v>
      </c>
      <c r="BF121" s="53" t="str">
        <f t="shared" si="11"/>
        <v>P01S2A33</v>
      </c>
      <c r="BG121" s="53">
        <v>1</v>
      </c>
      <c r="BH121" s="53">
        <v>2</v>
      </c>
      <c r="BI121" s="173">
        <v>33</v>
      </c>
      <c r="BJ121" s="173">
        <v>247</v>
      </c>
    </row>
    <row r="122" spans="1:62">
      <c r="A122" s="38" t="str">
        <f t="shared" si="12"/>
        <v>P10S1A33</v>
      </c>
      <c r="B122" s="38" t="s">
        <v>130</v>
      </c>
      <c r="C122" s="38">
        <v>10</v>
      </c>
      <c r="D122" s="38">
        <v>1</v>
      </c>
      <c r="E122" s="38">
        <v>33</v>
      </c>
      <c r="F122" s="38">
        <v>18</v>
      </c>
      <c r="L122" s="36" t="str">
        <f t="shared" si="13"/>
        <v>P2S1A44</v>
      </c>
      <c r="M122" s="49">
        <v>2</v>
      </c>
      <c r="N122" s="49">
        <v>1</v>
      </c>
      <c r="O122" s="49">
        <v>1</v>
      </c>
      <c r="P122" s="50" t="s">
        <v>76</v>
      </c>
      <c r="Q122" s="51">
        <v>3676</v>
      </c>
      <c r="AZ122" s="53" t="str">
        <f t="shared" si="14"/>
        <v>P01S2A34</v>
      </c>
      <c r="BA122" s="53">
        <v>1</v>
      </c>
      <c r="BB122" s="53">
        <v>2</v>
      </c>
      <c r="BC122" s="53">
        <v>34</v>
      </c>
      <c r="BD122" s="53">
        <v>29</v>
      </c>
      <c r="BF122" s="53" t="str">
        <f t="shared" si="11"/>
        <v>P01S2A34</v>
      </c>
      <c r="BG122" s="53">
        <v>1</v>
      </c>
      <c r="BH122" s="53">
        <v>2</v>
      </c>
      <c r="BI122" s="173">
        <v>34</v>
      </c>
      <c r="BJ122" s="173">
        <v>275</v>
      </c>
    </row>
    <row r="123" spans="1:62">
      <c r="A123" s="38" t="str">
        <f t="shared" si="12"/>
        <v>P10S1A34</v>
      </c>
      <c r="B123" s="38" t="s">
        <v>130</v>
      </c>
      <c r="C123" s="38">
        <v>10</v>
      </c>
      <c r="D123" s="38">
        <v>1</v>
      </c>
      <c r="E123" s="38">
        <v>34</v>
      </c>
      <c r="F123" s="38">
        <v>19</v>
      </c>
      <c r="L123" s="36" t="str">
        <f t="shared" si="13"/>
        <v>P2S1A45</v>
      </c>
      <c r="M123" s="49">
        <v>2</v>
      </c>
      <c r="N123" s="49">
        <v>1</v>
      </c>
      <c r="O123" s="49">
        <v>1</v>
      </c>
      <c r="P123" s="50" t="s">
        <v>77</v>
      </c>
      <c r="Q123" s="51">
        <v>4478</v>
      </c>
      <c r="AZ123" s="53" t="str">
        <f t="shared" si="14"/>
        <v>P01S2A35</v>
      </c>
      <c r="BA123" s="53">
        <v>1</v>
      </c>
      <c r="BB123" s="53">
        <v>2</v>
      </c>
      <c r="BC123" s="53">
        <v>35</v>
      </c>
      <c r="BD123" s="53">
        <v>47</v>
      </c>
      <c r="BF123" s="53" t="str">
        <f t="shared" si="11"/>
        <v>P01S2A35</v>
      </c>
      <c r="BG123" s="53">
        <v>1</v>
      </c>
      <c r="BH123" s="53">
        <v>2</v>
      </c>
      <c r="BI123" s="173">
        <v>35</v>
      </c>
      <c r="BJ123" s="173">
        <v>287</v>
      </c>
    </row>
    <row r="124" spans="1:62">
      <c r="A124" s="38" t="str">
        <f t="shared" si="12"/>
        <v>P10S1A35</v>
      </c>
      <c r="B124" s="38" t="s">
        <v>130</v>
      </c>
      <c r="C124" s="38">
        <v>10</v>
      </c>
      <c r="D124" s="38">
        <v>1</v>
      </c>
      <c r="E124" s="38">
        <v>35</v>
      </c>
      <c r="F124" s="38">
        <v>22</v>
      </c>
      <c r="L124" s="36" t="str">
        <f t="shared" si="13"/>
        <v>P2S1A46</v>
      </c>
      <c r="M124" s="49">
        <v>2</v>
      </c>
      <c r="N124" s="49">
        <v>1</v>
      </c>
      <c r="O124" s="49">
        <v>1</v>
      </c>
      <c r="P124" s="50" t="s">
        <v>78</v>
      </c>
      <c r="Q124" s="51">
        <v>4478</v>
      </c>
      <c r="AZ124" s="53" t="str">
        <f t="shared" si="14"/>
        <v>P01S2A36</v>
      </c>
      <c r="BA124" s="53">
        <v>1</v>
      </c>
      <c r="BB124" s="53">
        <v>2</v>
      </c>
      <c r="BC124" s="53">
        <v>36</v>
      </c>
      <c r="BD124" s="53">
        <v>48</v>
      </c>
      <c r="BF124" s="53" t="str">
        <f t="shared" si="11"/>
        <v>P01S2A36</v>
      </c>
      <c r="BG124" s="53">
        <v>1</v>
      </c>
      <c r="BH124" s="53">
        <v>2</v>
      </c>
      <c r="BI124" s="173">
        <v>36</v>
      </c>
      <c r="BJ124" s="173">
        <v>320</v>
      </c>
    </row>
    <row r="125" spans="1:62">
      <c r="A125" s="38" t="str">
        <f t="shared" si="12"/>
        <v>P10S1A36</v>
      </c>
      <c r="B125" s="38" t="s">
        <v>130</v>
      </c>
      <c r="C125" s="38">
        <v>10</v>
      </c>
      <c r="D125" s="38">
        <v>1</v>
      </c>
      <c r="E125" s="38">
        <v>36</v>
      </c>
      <c r="F125" s="38">
        <v>24</v>
      </c>
      <c r="L125" s="36" t="str">
        <f t="shared" si="13"/>
        <v>P2S1A47</v>
      </c>
      <c r="M125" s="49">
        <v>2</v>
      </c>
      <c r="N125" s="49">
        <v>1</v>
      </c>
      <c r="O125" s="49">
        <v>1</v>
      </c>
      <c r="P125" s="50" t="s">
        <v>79</v>
      </c>
      <c r="Q125" s="51">
        <v>4478</v>
      </c>
      <c r="AZ125" s="53" t="str">
        <f t="shared" si="14"/>
        <v>P01S2A37</v>
      </c>
      <c r="BA125" s="53">
        <v>1</v>
      </c>
      <c r="BB125" s="53">
        <v>2</v>
      </c>
      <c r="BC125" s="53">
        <v>37</v>
      </c>
      <c r="BD125" s="53">
        <v>48</v>
      </c>
      <c r="BF125" s="53" t="str">
        <f t="shared" si="11"/>
        <v>P01S2A37</v>
      </c>
      <c r="BG125" s="53">
        <v>1</v>
      </c>
      <c r="BH125" s="53">
        <v>2</v>
      </c>
      <c r="BI125" s="173">
        <v>37</v>
      </c>
      <c r="BJ125" s="173">
        <v>356</v>
      </c>
    </row>
    <row r="126" spans="1:62">
      <c r="A126" s="38" t="str">
        <f t="shared" si="12"/>
        <v>P10S1A37</v>
      </c>
      <c r="B126" s="38" t="s">
        <v>130</v>
      </c>
      <c r="C126" s="38">
        <v>10</v>
      </c>
      <c r="D126" s="38">
        <v>1</v>
      </c>
      <c r="E126" s="38">
        <v>37</v>
      </c>
      <c r="F126" s="38">
        <v>25</v>
      </c>
      <c r="L126" s="36" t="str">
        <f t="shared" si="13"/>
        <v>P2S1A48</v>
      </c>
      <c r="M126" s="49">
        <v>2</v>
      </c>
      <c r="N126" s="49">
        <v>1</v>
      </c>
      <c r="O126" s="49">
        <v>1</v>
      </c>
      <c r="P126" s="50" t="s">
        <v>80</v>
      </c>
      <c r="Q126" s="51">
        <v>4478</v>
      </c>
      <c r="AZ126" s="53" t="str">
        <f t="shared" si="14"/>
        <v>P01S2A38</v>
      </c>
      <c r="BA126" s="53">
        <v>1</v>
      </c>
      <c r="BB126" s="53">
        <v>2</v>
      </c>
      <c r="BC126" s="53">
        <v>38</v>
      </c>
      <c r="BD126" s="53">
        <v>49</v>
      </c>
      <c r="BF126" s="53" t="str">
        <f t="shared" si="11"/>
        <v>P01S2A38</v>
      </c>
      <c r="BG126" s="53">
        <v>1</v>
      </c>
      <c r="BH126" s="53">
        <v>2</v>
      </c>
      <c r="BI126" s="173">
        <v>38</v>
      </c>
      <c r="BJ126" s="173">
        <v>391</v>
      </c>
    </row>
    <row r="127" spans="1:62">
      <c r="A127" s="38" t="str">
        <f t="shared" si="12"/>
        <v>P10S1A38</v>
      </c>
      <c r="B127" s="38" t="s">
        <v>130</v>
      </c>
      <c r="C127" s="38">
        <v>10</v>
      </c>
      <c r="D127" s="38">
        <v>1</v>
      </c>
      <c r="E127" s="38">
        <v>38</v>
      </c>
      <c r="F127" s="38">
        <v>28</v>
      </c>
      <c r="L127" s="36" t="str">
        <f t="shared" si="13"/>
        <v>P2S1A49</v>
      </c>
      <c r="M127" s="49">
        <v>2</v>
      </c>
      <c r="N127" s="49">
        <v>1</v>
      </c>
      <c r="O127" s="49">
        <v>1</v>
      </c>
      <c r="P127" s="50" t="s">
        <v>81</v>
      </c>
      <c r="Q127" s="51">
        <v>4478</v>
      </c>
      <c r="AZ127" s="53" t="str">
        <f t="shared" si="14"/>
        <v>P01S2A39</v>
      </c>
      <c r="BA127" s="53">
        <v>1</v>
      </c>
      <c r="BB127" s="53">
        <v>2</v>
      </c>
      <c r="BC127" s="53">
        <v>39</v>
      </c>
      <c r="BD127" s="53">
        <v>49</v>
      </c>
      <c r="BF127" s="53" t="str">
        <f t="shared" si="11"/>
        <v>P01S2A39</v>
      </c>
      <c r="BG127" s="53">
        <v>1</v>
      </c>
      <c r="BH127" s="53">
        <v>2</v>
      </c>
      <c r="BI127" s="173">
        <v>39</v>
      </c>
      <c r="BJ127" s="173">
        <v>430</v>
      </c>
    </row>
    <row r="128" spans="1:62">
      <c r="A128" s="38" t="str">
        <f t="shared" si="12"/>
        <v>P10S1A39</v>
      </c>
      <c r="B128" s="38" t="s">
        <v>130</v>
      </c>
      <c r="C128" s="38">
        <v>10</v>
      </c>
      <c r="D128" s="38">
        <v>1</v>
      </c>
      <c r="E128" s="38">
        <v>39</v>
      </c>
      <c r="F128" s="38">
        <v>29</v>
      </c>
      <c r="L128" s="36" t="str">
        <f t="shared" si="13"/>
        <v>P2S1A50</v>
      </c>
      <c r="M128" s="49">
        <v>2</v>
      </c>
      <c r="N128" s="49">
        <v>1</v>
      </c>
      <c r="O128" s="49">
        <v>1</v>
      </c>
      <c r="P128" s="50" t="s">
        <v>82</v>
      </c>
      <c r="Q128" s="51">
        <v>5403</v>
      </c>
      <c r="AZ128" s="53" t="str">
        <f t="shared" si="14"/>
        <v>P01S2A40</v>
      </c>
      <c r="BA128" s="53">
        <v>1</v>
      </c>
      <c r="BB128" s="53">
        <v>2</v>
      </c>
      <c r="BC128" s="53">
        <v>40</v>
      </c>
      <c r="BD128" s="53">
        <v>81</v>
      </c>
      <c r="BF128" s="53" t="str">
        <f t="shared" si="11"/>
        <v>P01S2A40</v>
      </c>
      <c r="BG128" s="53">
        <v>1</v>
      </c>
      <c r="BH128" s="53">
        <v>2</v>
      </c>
      <c r="BI128" s="173">
        <v>40</v>
      </c>
      <c r="BJ128" s="173">
        <v>498</v>
      </c>
    </row>
    <row r="129" spans="1:62">
      <c r="A129" s="38" t="str">
        <f t="shared" si="12"/>
        <v>P10S1A40</v>
      </c>
      <c r="B129" s="38" t="s">
        <v>130</v>
      </c>
      <c r="C129" s="38">
        <v>10</v>
      </c>
      <c r="D129" s="38">
        <v>1</v>
      </c>
      <c r="E129" s="38">
        <v>40</v>
      </c>
      <c r="F129" s="38">
        <v>32</v>
      </c>
      <c r="L129" s="36" t="str">
        <f t="shared" si="13"/>
        <v>P2S1A51</v>
      </c>
      <c r="M129" s="49">
        <v>2</v>
      </c>
      <c r="N129" s="49">
        <v>1</v>
      </c>
      <c r="O129" s="49">
        <v>1</v>
      </c>
      <c r="P129" s="50" t="s">
        <v>83</v>
      </c>
      <c r="Q129" s="51">
        <v>5403</v>
      </c>
      <c r="AZ129" s="53" t="str">
        <f t="shared" si="14"/>
        <v>P01S2A41</v>
      </c>
      <c r="BA129" s="53">
        <v>1</v>
      </c>
      <c r="BB129" s="53">
        <v>2</v>
      </c>
      <c r="BC129" s="53">
        <v>41</v>
      </c>
      <c r="BD129" s="53">
        <v>82</v>
      </c>
      <c r="BF129" s="53" t="str">
        <f t="shared" si="11"/>
        <v>P01S2A41</v>
      </c>
      <c r="BG129" s="53">
        <v>1</v>
      </c>
      <c r="BH129" s="53">
        <v>2</v>
      </c>
      <c r="BI129" s="173">
        <v>41</v>
      </c>
      <c r="BJ129" s="173">
        <v>548</v>
      </c>
    </row>
    <row r="130" spans="1:62">
      <c r="A130" s="38" t="str">
        <f t="shared" ref="A130:A161" si="15">"P"&amp;REPT("0",2-LEN(C130))&amp;C130&amp;"S"&amp;D130&amp;"A"&amp;REPT("0",2-LEN(E130))&amp;E130</f>
        <v>P10S1A41</v>
      </c>
      <c r="B130" s="38" t="s">
        <v>130</v>
      </c>
      <c r="C130" s="38">
        <v>10</v>
      </c>
      <c r="D130" s="38">
        <v>1</v>
      </c>
      <c r="E130" s="38">
        <v>41</v>
      </c>
      <c r="F130" s="38">
        <v>33</v>
      </c>
      <c r="L130" s="36" t="str">
        <f t="shared" ref="L130:L161" si="16">"P"&amp;M130&amp;"S"&amp;O130&amp;"A"&amp;REPT("0",2-LEN(P130))&amp;P130</f>
        <v>P2S1A52</v>
      </c>
      <c r="M130" s="49">
        <v>2</v>
      </c>
      <c r="N130" s="49">
        <v>1</v>
      </c>
      <c r="O130" s="49">
        <v>1</v>
      </c>
      <c r="P130" s="50" t="s">
        <v>84</v>
      </c>
      <c r="Q130" s="51">
        <v>5403</v>
      </c>
      <c r="AZ130" s="53" t="str">
        <f t="shared" ref="AZ130:AZ161" si="17">"P"&amp;REPT("0",2-LEN(BA130))&amp;BA130&amp;"S"&amp;BB130&amp;"A"&amp;REPT("0",2-LEN(BC130))&amp;BC130</f>
        <v>P01S2A42</v>
      </c>
      <c r="BA130" s="53">
        <v>1</v>
      </c>
      <c r="BB130" s="53">
        <v>2</v>
      </c>
      <c r="BC130" s="53">
        <v>42</v>
      </c>
      <c r="BD130" s="53">
        <v>82</v>
      </c>
      <c r="BF130" s="53" t="str">
        <f t="shared" ref="BF130:BF173" si="18">"P"&amp;REPT("0",2-LEN(BG130))&amp;BG130&amp;"S"&amp;BH130&amp;"A"&amp;REPT("0",2-LEN(BI130))&amp;BI130</f>
        <v>P01S2A42</v>
      </c>
      <c r="BG130" s="53">
        <v>1</v>
      </c>
      <c r="BH130" s="53">
        <v>2</v>
      </c>
      <c r="BI130" s="173">
        <v>42</v>
      </c>
      <c r="BJ130" s="173">
        <v>602</v>
      </c>
    </row>
    <row r="131" spans="1:62">
      <c r="A131" s="38" t="str">
        <f t="shared" si="15"/>
        <v>P10S1A42</v>
      </c>
      <c r="B131" s="38" t="s">
        <v>130</v>
      </c>
      <c r="C131" s="38">
        <v>10</v>
      </c>
      <c r="D131" s="38">
        <v>1</v>
      </c>
      <c r="E131" s="38">
        <v>42</v>
      </c>
      <c r="F131" s="38">
        <v>35</v>
      </c>
      <c r="L131" s="36" t="str">
        <f t="shared" si="16"/>
        <v>P2S1A53</v>
      </c>
      <c r="M131" s="49">
        <v>2</v>
      </c>
      <c r="N131" s="49">
        <v>1</v>
      </c>
      <c r="O131" s="49">
        <v>1</v>
      </c>
      <c r="P131" s="50" t="s">
        <v>85</v>
      </c>
      <c r="Q131" s="51">
        <v>5403</v>
      </c>
      <c r="AZ131" s="53" t="str">
        <f t="shared" si="17"/>
        <v>P01S2A43</v>
      </c>
      <c r="BA131" s="53">
        <v>1</v>
      </c>
      <c r="BB131" s="53">
        <v>2</v>
      </c>
      <c r="BC131" s="53">
        <v>43</v>
      </c>
      <c r="BD131" s="53">
        <v>83</v>
      </c>
      <c r="BF131" s="53" t="str">
        <f t="shared" si="18"/>
        <v>P01S2A43</v>
      </c>
      <c r="BG131" s="53">
        <v>1</v>
      </c>
      <c r="BH131" s="53">
        <v>2</v>
      </c>
      <c r="BI131" s="173">
        <v>43</v>
      </c>
      <c r="BJ131" s="173">
        <v>653</v>
      </c>
    </row>
    <row r="132" spans="1:62">
      <c r="A132" s="38" t="str">
        <f t="shared" si="15"/>
        <v>P10S1A43</v>
      </c>
      <c r="B132" s="38" t="s">
        <v>130</v>
      </c>
      <c r="C132" s="38">
        <v>10</v>
      </c>
      <c r="D132" s="38">
        <v>1</v>
      </c>
      <c r="E132" s="38">
        <v>43</v>
      </c>
      <c r="F132" s="38">
        <v>39</v>
      </c>
      <c r="L132" s="36" t="str">
        <f t="shared" si="16"/>
        <v>P2S1A54</v>
      </c>
      <c r="M132" s="49">
        <v>2</v>
      </c>
      <c r="N132" s="49">
        <v>1</v>
      </c>
      <c r="O132" s="49">
        <v>1</v>
      </c>
      <c r="P132" s="50" t="s">
        <v>86</v>
      </c>
      <c r="Q132" s="51">
        <v>5403</v>
      </c>
      <c r="AZ132" s="53" t="str">
        <f t="shared" si="17"/>
        <v>P01S2A44</v>
      </c>
      <c r="BA132" s="53">
        <v>1</v>
      </c>
      <c r="BB132" s="53">
        <v>2</v>
      </c>
      <c r="BC132" s="53">
        <v>44</v>
      </c>
      <c r="BD132" s="53">
        <v>83</v>
      </c>
      <c r="BF132" s="53" t="str">
        <f t="shared" si="18"/>
        <v>P01S2A44</v>
      </c>
      <c r="BG132" s="53">
        <v>1</v>
      </c>
      <c r="BH132" s="53">
        <v>2</v>
      </c>
      <c r="BI132" s="173">
        <v>44</v>
      </c>
      <c r="BJ132" s="173">
        <v>709</v>
      </c>
    </row>
    <row r="133" spans="1:62">
      <c r="A133" s="38" t="str">
        <f t="shared" si="15"/>
        <v>P10S1A44</v>
      </c>
      <c r="B133" s="38" t="s">
        <v>130</v>
      </c>
      <c r="C133" s="38">
        <v>10</v>
      </c>
      <c r="D133" s="38">
        <v>1</v>
      </c>
      <c r="E133" s="38">
        <v>44</v>
      </c>
      <c r="F133" s="38">
        <v>41</v>
      </c>
      <c r="L133" s="36" t="str">
        <f t="shared" si="16"/>
        <v>P2S1A55</v>
      </c>
      <c r="M133" s="49">
        <v>2</v>
      </c>
      <c r="N133" s="49">
        <v>1</v>
      </c>
      <c r="O133" s="49">
        <v>1</v>
      </c>
      <c r="P133" s="50" t="s">
        <v>87</v>
      </c>
      <c r="Q133" s="51">
        <v>6608</v>
      </c>
      <c r="AZ133" s="53" t="str">
        <f t="shared" si="17"/>
        <v>P01S2A45</v>
      </c>
      <c r="BA133" s="53">
        <v>1</v>
      </c>
      <c r="BB133" s="53">
        <v>2</v>
      </c>
      <c r="BC133" s="53">
        <v>45</v>
      </c>
      <c r="BD133" s="53">
        <v>133</v>
      </c>
      <c r="BF133" s="53" t="str">
        <f t="shared" si="18"/>
        <v>P01S2A45</v>
      </c>
      <c r="BG133" s="53">
        <v>1</v>
      </c>
      <c r="BH133" s="53">
        <v>2</v>
      </c>
      <c r="BI133" s="173">
        <v>45</v>
      </c>
      <c r="BJ133" s="173">
        <v>779</v>
      </c>
    </row>
    <row r="134" spans="1:62">
      <c r="A134" s="38" t="str">
        <f t="shared" si="15"/>
        <v>P10S1A45</v>
      </c>
      <c r="B134" s="38" t="s">
        <v>130</v>
      </c>
      <c r="C134" s="38">
        <v>10</v>
      </c>
      <c r="D134" s="38">
        <v>1</v>
      </c>
      <c r="E134" s="38">
        <v>45</v>
      </c>
      <c r="F134" s="38">
        <v>44</v>
      </c>
      <c r="L134" s="36" t="str">
        <f t="shared" si="16"/>
        <v>P2S1A56</v>
      </c>
      <c r="M134" s="49">
        <v>2</v>
      </c>
      <c r="N134" s="49">
        <v>1</v>
      </c>
      <c r="O134" s="49">
        <v>1</v>
      </c>
      <c r="P134" s="50" t="s">
        <v>88</v>
      </c>
      <c r="Q134" s="51">
        <v>6608</v>
      </c>
      <c r="AZ134" s="53" t="str">
        <f t="shared" si="17"/>
        <v>P01S2A46</v>
      </c>
      <c r="BA134" s="53">
        <v>1</v>
      </c>
      <c r="BB134" s="53">
        <v>2</v>
      </c>
      <c r="BC134" s="53">
        <v>46</v>
      </c>
      <c r="BD134" s="53">
        <v>133</v>
      </c>
      <c r="BF134" s="53" t="str">
        <f t="shared" si="18"/>
        <v>P01S2A46</v>
      </c>
      <c r="BG134" s="53">
        <v>1</v>
      </c>
      <c r="BH134" s="53">
        <v>2</v>
      </c>
      <c r="BI134" s="173">
        <v>46</v>
      </c>
      <c r="BJ134" s="173">
        <v>845</v>
      </c>
    </row>
    <row r="135" spans="1:62">
      <c r="A135" s="38" t="str">
        <f t="shared" si="15"/>
        <v>P10S1A46</v>
      </c>
      <c r="B135" s="38" t="s">
        <v>130</v>
      </c>
      <c r="C135" s="38">
        <v>10</v>
      </c>
      <c r="D135" s="38">
        <v>1</v>
      </c>
      <c r="E135" s="38">
        <v>46</v>
      </c>
      <c r="F135" s="38">
        <v>48</v>
      </c>
      <c r="L135" s="36" t="str">
        <f t="shared" si="16"/>
        <v>P2S1A57</v>
      </c>
      <c r="M135" s="49">
        <v>2</v>
      </c>
      <c r="N135" s="49">
        <v>1</v>
      </c>
      <c r="O135" s="49">
        <v>1</v>
      </c>
      <c r="P135" s="50" t="s">
        <v>89</v>
      </c>
      <c r="Q135" s="51">
        <v>6608</v>
      </c>
      <c r="AZ135" s="53" t="str">
        <f t="shared" si="17"/>
        <v>P01S2A47</v>
      </c>
      <c r="BA135" s="53">
        <v>1</v>
      </c>
      <c r="BB135" s="53">
        <v>2</v>
      </c>
      <c r="BC135" s="53">
        <v>47</v>
      </c>
      <c r="BD135" s="53">
        <v>134</v>
      </c>
      <c r="BF135" s="53" t="str">
        <f t="shared" si="18"/>
        <v>P01S2A47</v>
      </c>
      <c r="BG135" s="53">
        <v>1</v>
      </c>
      <c r="BH135" s="53">
        <v>2</v>
      </c>
      <c r="BI135" s="173">
        <v>47</v>
      </c>
      <c r="BJ135" s="173">
        <v>917</v>
      </c>
    </row>
    <row r="136" spans="1:62">
      <c r="A136" s="38" t="str">
        <f t="shared" si="15"/>
        <v>P10S1A47</v>
      </c>
      <c r="B136" s="38" t="s">
        <v>130</v>
      </c>
      <c r="C136" s="38">
        <v>10</v>
      </c>
      <c r="D136" s="38">
        <v>1</v>
      </c>
      <c r="E136" s="38">
        <v>47</v>
      </c>
      <c r="F136" s="38">
        <v>52</v>
      </c>
      <c r="L136" s="36" t="str">
        <f t="shared" si="16"/>
        <v>P2S1A58</v>
      </c>
      <c r="M136" s="49">
        <v>2</v>
      </c>
      <c r="N136" s="49">
        <v>1</v>
      </c>
      <c r="O136" s="49">
        <v>1</v>
      </c>
      <c r="P136" s="50" t="s">
        <v>90</v>
      </c>
      <c r="Q136" s="51">
        <v>6608</v>
      </c>
      <c r="AZ136" s="53" t="str">
        <f t="shared" si="17"/>
        <v>P01S2A48</v>
      </c>
      <c r="BA136" s="53">
        <v>1</v>
      </c>
      <c r="BB136" s="53">
        <v>2</v>
      </c>
      <c r="BC136" s="53">
        <v>48</v>
      </c>
      <c r="BD136" s="53">
        <v>134</v>
      </c>
      <c r="BF136" s="53" t="str">
        <f t="shared" si="18"/>
        <v>P01S2A48</v>
      </c>
      <c r="BG136" s="53">
        <v>1</v>
      </c>
      <c r="BH136" s="53">
        <v>2</v>
      </c>
      <c r="BI136" s="173">
        <v>48</v>
      </c>
      <c r="BJ136" s="173">
        <v>958</v>
      </c>
    </row>
    <row r="137" spans="1:62">
      <c r="A137" s="38" t="str">
        <f t="shared" si="15"/>
        <v>P10S1A48</v>
      </c>
      <c r="B137" s="38" t="s">
        <v>130</v>
      </c>
      <c r="C137" s="38">
        <v>10</v>
      </c>
      <c r="D137" s="38">
        <v>1</v>
      </c>
      <c r="E137" s="38">
        <v>48</v>
      </c>
      <c r="F137" s="38">
        <v>56</v>
      </c>
      <c r="L137" s="36" t="str">
        <f t="shared" si="16"/>
        <v>P2S1A59</v>
      </c>
      <c r="M137" s="49">
        <v>2</v>
      </c>
      <c r="N137" s="49">
        <v>1</v>
      </c>
      <c r="O137" s="49">
        <v>1</v>
      </c>
      <c r="P137" s="50" t="s">
        <v>91</v>
      </c>
      <c r="Q137" s="51">
        <v>6608</v>
      </c>
      <c r="AZ137" s="53" t="str">
        <f t="shared" si="17"/>
        <v>P01S2A49</v>
      </c>
      <c r="BA137" s="53">
        <v>1</v>
      </c>
      <c r="BB137" s="53">
        <v>2</v>
      </c>
      <c r="BC137" s="53">
        <v>49</v>
      </c>
      <c r="BD137" s="53">
        <v>135</v>
      </c>
      <c r="BF137" s="53" t="str">
        <f t="shared" si="18"/>
        <v>P01S2A49</v>
      </c>
      <c r="BG137" s="53">
        <v>1</v>
      </c>
      <c r="BH137" s="53">
        <v>2</v>
      </c>
      <c r="BI137" s="173">
        <v>49</v>
      </c>
      <c r="BJ137" s="173">
        <v>1001</v>
      </c>
    </row>
    <row r="138" spans="1:62">
      <c r="A138" s="38" t="str">
        <f t="shared" si="15"/>
        <v>P10S1A49</v>
      </c>
      <c r="B138" s="38" t="s">
        <v>130</v>
      </c>
      <c r="C138" s="38">
        <v>10</v>
      </c>
      <c r="D138" s="38">
        <v>1</v>
      </c>
      <c r="E138" s="38">
        <v>49</v>
      </c>
      <c r="F138" s="38">
        <v>61</v>
      </c>
      <c r="L138" s="36" t="str">
        <f t="shared" si="16"/>
        <v>P2S1A60</v>
      </c>
      <c r="M138" s="49">
        <v>2</v>
      </c>
      <c r="N138" s="49">
        <v>1</v>
      </c>
      <c r="O138" s="49">
        <v>1</v>
      </c>
      <c r="P138" s="50" t="s">
        <v>92</v>
      </c>
      <c r="Q138" s="51">
        <v>7781</v>
      </c>
      <c r="AZ138" s="53" t="str">
        <f t="shared" si="17"/>
        <v>P01S2A50</v>
      </c>
      <c r="BA138" s="53">
        <v>1</v>
      </c>
      <c r="BB138" s="53">
        <v>2</v>
      </c>
      <c r="BC138" s="53">
        <v>50</v>
      </c>
      <c r="BD138" s="53">
        <v>177</v>
      </c>
      <c r="BF138" s="53" t="str">
        <f t="shared" si="18"/>
        <v>P01S2A50</v>
      </c>
      <c r="BG138" s="53">
        <v>1</v>
      </c>
      <c r="BH138" s="53">
        <v>2</v>
      </c>
      <c r="BI138" s="173">
        <v>50</v>
      </c>
      <c r="BJ138" s="173">
        <v>1013</v>
      </c>
    </row>
    <row r="139" spans="1:62">
      <c r="A139" s="38" t="str">
        <f t="shared" si="15"/>
        <v>P10S1A50</v>
      </c>
      <c r="B139" s="38" t="s">
        <v>130</v>
      </c>
      <c r="C139" s="38">
        <v>10</v>
      </c>
      <c r="D139" s="38">
        <v>1</v>
      </c>
      <c r="E139" s="38">
        <v>50</v>
      </c>
      <c r="F139" s="38">
        <v>69</v>
      </c>
      <c r="L139" s="36" t="str">
        <f t="shared" si="16"/>
        <v>P2S1A61</v>
      </c>
      <c r="M139" s="49">
        <v>2</v>
      </c>
      <c r="N139" s="49">
        <v>1</v>
      </c>
      <c r="O139" s="49">
        <v>1</v>
      </c>
      <c r="P139" s="50" t="s">
        <v>93</v>
      </c>
      <c r="Q139" s="51">
        <v>7781</v>
      </c>
      <c r="AZ139" s="53" t="str">
        <f t="shared" si="17"/>
        <v>P01S2A51</v>
      </c>
      <c r="BA139" s="53">
        <v>1</v>
      </c>
      <c r="BB139" s="53">
        <v>2</v>
      </c>
      <c r="BC139" s="53">
        <v>51</v>
      </c>
      <c r="BD139" s="53">
        <v>177</v>
      </c>
      <c r="BF139" s="53" t="str">
        <f t="shared" si="18"/>
        <v>P01S2A51</v>
      </c>
      <c r="BG139" s="53">
        <v>1</v>
      </c>
      <c r="BH139" s="53">
        <v>2</v>
      </c>
      <c r="BI139" s="173">
        <v>51</v>
      </c>
      <c r="BJ139" s="173">
        <v>1058</v>
      </c>
    </row>
    <row r="140" spans="1:62">
      <c r="A140" s="38" t="str">
        <f t="shared" si="15"/>
        <v>P10S1A51</v>
      </c>
      <c r="B140" s="38" t="s">
        <v>130</v>
      </c>
      <c r="C140" s="38">
        <v>10</v>
      </c>
      <c r="D140" s="38">
        <v>1</v>
      </c>
      <c r="E140" s="38">
        <v>51</v>
      </c>
      <c r="F140" s="38">
        <v>72</v>
      </c>
      <c r="L140" s="36" t="str">
        <f t="shared" si="16"/>
        <v>P2S1A62</v>
      </c>
      <c r="M140" s="49">
        <v>2</v>
      </c>
      <c r="N140" s="49">
        <v>1</v>
      </c>
      <c r="O140" s="49">
        <v>1</v>
      </c>
      <c r="P140" s="50" t="s">
        <v>94</v>
      </c>
      <c r="Q140" s="51">
        <v>7781</v>
      </c>
      <c r="AZ140" s="53" t="str">
        <f t="shared" si="17"/>
        <v>P01S2A52</v>
      </c>
      <c r="BA140" s="53">
        <v>1</v>
      </c>
      <c r="BB140" s="53">
        <v>2</v>
      </c>
      <c r="BC140" s="53">
        <v>52</v>
      </c>
      <c r="BD140" s="53">
        <v>177</v>
      </c>
      <c r="BF140" s="53" t="str">
        <f t="shared" si="18"/>
        <v>P01S2A52</v>
      </c>
      <c r="BG140" s="53">
        <v>1</v>
      </c>
      <c r="BH140" s="53">
        <v>2</v>
      </c>
      <c r="BI140" s="173">
        <v>52</v>
      </c>
      <c r="BJ140" s="173">
        <v>1106</v>
      </c>
    </row>
    <row r="141" spans="1:62">
      <c r="A141" s="38" t="str">
        <f t="shared" si="15"/>
        <v>P10S1A52</v>
      </c>
      <c r="B141" s="38" t="s">
        <v>130</v>
      </c>
      <c r="C141" s="38">
        <v>10</v>
      </c>
      <c r="D141" s="38">
        <v>1</v>
      </c>
      <c r="E141" s="38">
        <v>52</v>
      </c>
      <c r="F141" s="38">
        <v>77</v>
      </c>
      <c r="L141" s="36" t="str">
        <f t="shared" si="16"/>
        <v>P2S1A63</v>
      </c>
      <c r="M141" s="49">
        <v>2</v>
      </c>
      <c r="N141" s="49">
        <v>1</v>
      </c>
      <c r="O141" s="49">
        <v>1</v>
      </c>
      <c r="P141" s="50" t="s">
        <v>95</v>
      </c>
      <c r="Q141" s="51">
        <v>7781</v>
      </c>
      <c r="AZ141" s="53" t="str">
        <f t="shared" si="17"/>
        <v>P01S2A53</v>
      </c>
      <c r="BA141" s="53">
        <v>1</v>
      </c>
      <c r="BB141" s="53">
        <v>2</v>
      </c>
      <c r="BC141" s="53">
        <v>53</v>
      </c>
      <c r="BD141" s="53">
        <v>178</v>
      </c>
      <c r="BF141" s="53" t="str">
        <f t="shared" si="18"/>
        <v>P01S2A53</v>
      </c>
      <c r="BG141" s="53">
        <v>1</v>
      </c>
      <c r="BH141" s="53">
        <v>2</v>
      </c>
      <c r="BI141" s="173">
        <v>53</v>
      </c>
      <c r="BJ141" s="173">
        <v>1152</v>
      </c>
    </row>
    <row r="142" spans="1:62">
      <c r="A142" s="38" t="str">
        <f t="shared" si="15"/>
        <v>P10S1A53</v>
      </c>
      <c r="B142" s="38" t="s">
        <v>130</v>
      </c>
      <c r="C142" s="38">
        <v>10</v>
      </c>
      <c r="D142" s="38">
        <v>1</v>
      </c>
      <c r="E142" s="38">
        <v>53</v>
      </c>
      <c r="F142" s="38">
        <v>85</v>
      </c>
      <c r="L142" s="36" t="str">
        <f t="shared" si="16"/>
        <v>P2S1A64</v>
      </c>
      <c r="M142" s="49">
        <v>2</v>
      </c>
      <c r="N142" s="49">
        <v>1</v>
      </c>
      <c r="O142" s="49">
        <v>1</v>
      </c>
      <c r="P142" s="50" t="s">
        <v>96</v>
      </c>
      <c r="Q142" s="51">
        <v>7781</v>
      </c>
      <c r="AZ142" s="53" t="str">
        <f t="shared" si="17"/>
        <v>P01S2A54</v>
      </c>
      <c r="BA142" s="53">
        <v>1</v>
      </c>
      <c r="BB142" s="53">
        <v>2</v>
      </c>
      <c r="BC142" s="53">
        <v>54</v>
      </c>
      <c r="BD142" s="53">
        <v>178</v>
      </c>
      <c r="BF142" s="53" t="str">
        <f t="shared" si="18"/>
        <v>P01S2A54</v>
      </c>
      <c r="BG142" s="53">
        <v>1</v>
      </c>
      <c r="BH142" s="53">
        <v>2</v>
      </c>
      <c r="BI142" s="173">
        <v>54</v>
      </c>
      <c r="BJ142" s="173">
        <v>1144</v>
      </c>
    </row>
    <row r="143" spans="1:62">
      <c r="A143" s="38" t="str">
        <f t="shared" si="15"/>
        <v>P10S1A54</v>
      </c>
      <c r="B143" s="38" t="s">
        <v>130</v>
      </c>
      <c r="C143" s="38">
        <v>10</v>
      </c>
      <c r="D143" s="38">
        <v>1</v>
      </c>
      <c r="E143" s="38">
        <v>54</v>
      </c>
      <c r="F143" s="38">
        <v>92</v>
      </c>
      <c r="L143" s="36" t="str">
        <f t="shared" si="16"/>
        <v>P2S1A65</v>
      </c>
      <c r="M143" s="49">
        <v>2</v>
      </c>
      <c r="N143" s="49">
        <v>1</v>
      </c>
      <c r="O143" s="49">
        <v>1</v>
      </c>
      <c r="P143" s="50" t="s">
        <v>97</v>
      </c>
      <c r="Q143" s="51">
        <v>10132</v>
      </c>
      <c r="AZ143" s="53" t="str">
        <f t="shared" si="17"/>
        <v>P01S2A55</v>
      </c>
      <c r="BA143" s="53">
        <v>1</v>
      </c>
      <c r="BB143" s="53">
        <v>2</v>
      </c>
      <c r="BC143" s="53">
        <v>55</v>
      </c>
      <c r="BD143" s="53">
        <v>211</v>
      </c>
      <c r="BF143" s="53" t="str">
        <f t="shared" si="18"/>
        <v>P01S2A55</v>
      </c>
      <c r="BG143" s="53">
        <v>1</v>
      </c>
      <c r="BH143" s="53">
        <v>2</v>
      </c>
      <c r="BI143" s="173">
        <v>55</v>
      </c>
      <c r="BJ143" s="173">
        <v>1174</v>
      </c>
    </row>
    <row r="144" spans="1:62">
      <c r="A144" s="38" t="str">
        <f t="shared" si="15"/>
        <v>P10S1A55</v>
      </c>
      <c r="B144" s="38" t="s">
        <v>130</v>
      </c>
      <c r="C144" s="38">
        <v>10</v>
      </c>
      <c r="D144" s="38">
        <v>1</v>
      </c>
      <c r="E144" s="38">
        <v>55</v>
      </c>
      <c r="F144" s="38">
        <v>100</v>
      </c>
      <c r="L144" s="36" t="str">
        <f t="shared" si="16"/>
        <v>P2S1A66</v>
      </c>
      <c r="M144" s="49">
        <v>2</v>
      </c>
      <c r="N144" s="49">
        <v>1</v>
      </c>
      <c r="O144" s="49">
        <v>1</v>
      </c>
      <c r="P144" s="50" t="s">
        <v>98</v>
      </c>
      <c r="Q144" s="51">
        <v>10132</v>
      </c>
      <c r="AZ144" s="53" t="str">
        <f t="shared" si="17"/>
        <v>P01S2A56</v>
      </c>
      <c r="BA144" s="53">
        <v>1</v>
      </c>
      <c r="BB144" s="53">
        <v>2</v>
      </c>
      <c r="BC144" s="53">
        <v>56</v>
      </c>
      <c r="BD144" s="53">
        <v>212</v>
      </c>
      <c r="BF144" s="53" t="str">
        <f t="shared" si="18"/>
        <v>P01S2A56</v>
      </c>
      <c r="BG144" s="53">
        <v>1</v>
      </c>
      <c r="BH144" s="53">
        <v>2</v>
      </c>
      <c r="BI144" s="173">
        <v>56</v>
      </c>
      <c r="BJ144" s="173">
        <v>1205</v>
      </c>
    </row>
    <row r="145" spans="1:62">
      <c r="A145" s="38" t="str">
        <f t="shared" si="15"/>
        <v>P10S1A56</v>
      </c>
      <c r="B145" s="38" t="s">
        <v>130</v>
      </c>
      <c r="C145" s="38">
        <v>10</v>
      </c>
      <c r="D145" s="38">
        <v>1</v>
      </c>
      <c r="E145" s="38">
        <v>56</v>
      </c>
      <c r="F145" s="38">
        <v>110</v>
      </c>
      <c r="L145" s="36" t="str">
        <f t="shared" si="16"/>
        <v>P2S1A67</v>
      </c>
      <c r="M145" s="49">
        <v>2</v>
      </c>
      <c r="N145" s="49">
        <v>1</v>
      </c>
      <c r="O145" s="49">
        <v>1</v>
      </c>
      <c r="P145" s="50" t="s">
        <v>99</v>
      </c>
      <c r="Q145" s="51">
        <v>10132</v>
      </c>
      <c r="AZ145" s="53" t="str">
        <f t="shared" si="17"/>
        <v>P01S2A57</v>
      </c>
      <c r="BA145" s="53">
        <v>1</v>
      </c>
      <c r="BB145" s="53">
        <v>2</v>
      </c>
      <c r="BC145" s="53">
        <v>57</v>
      </c>
      <c r="BD145" s="53">
        <v>212</v>
      </c>
      <c r="BF145" s="53" t="str">
        <f t="shared" si="18"/>
        <v>P01S2A57</v>
      </c>
      <c r="BG145" s="53">
        <v>1</v>
      </c>
      <c r="BH145" s="53">
        <v>2</v>
      </c>
      <c r="BI145" s="173">
        <v>57</v>
      </c>
      <c r="BJ145" s="173">
        <v>1237</v>
      </c>
    </row>
    <row r="146" spans="1:62">
      <c r="A146" s="38" t="str">
        <f t="shared" si="15"/>
        <v>P10S1A57</v>
      </c>
      <c r="B146" s="38" t="s">
        <v>130</v>
      </c>
      <c r="C146" s="38">
        <v>10</v>
      </c>
      <c r="D146" s="38">
        <v>1</v>
      </c>
      <c r="E146" s="38">
        <v>57</v>
      </c>
      <c r="F146" s="38">
        <v>120</v>
      </c>
      <c r="L146" s="36" t="str">
        <f t="shared" si="16"/>
        <v>P2S1A68</v>
      </c>
      <c r="M146" s="49">
        <v>2</v>
      </c>
      <c r="N146" s="49">
        <v>1</v>
      </c>
      <c r="O146" s="49">
        <v>1</v>
      </c>
      <c r="P146" s="50" t="s">
        <v>100</v>
      </c>
      <c r="Q146" s="51">
        <v>10132</v>
      </c>
      <c r="AZ146" s="53" t="str">
        <f t="shared" si="17"/>
        <v>P01S2A58</v>
      </c>
      <c r="BA146" s="53">
        <v>1</v>
      </c>
      <c r="BB146" s="53">
        <v>2</v>
      </c>
      <c r="BC146" s="53">
        <v>58</v>
      </c>
      <c r="BD146" s="53">
        <v>212</v>
      </c>
      <c r="BF146" s="53" t="str">
        <f t="shared" si="18"/>
        <v>P01S2A58</v>
      </c>
      <c r="BG146" s="53">
        <v>1</v>
      </c>
      <c r="BH146" s="53">
        <v>2</v>
      </c>
      <c r="BI146" s="173">
        <v>58</v>
      </c>
      <c r="BJ146" s="173">
        <v>1270</v>
      </c>
    </row>
    <row r="147" spans="1:62">
      <c r="A147" s="38" t="str">
        <f t="shared" si="15"/>
        <v>P10S1A58</v>
      </c>
      <c r="B147" s="38" t="s">
        <v>130</v>
      </c>
      <c r="C147" s="38">
        <v>10</v>
      </c>
      <c r="D147" s="38">
        <v>1</v>
      </c>
      <c r="E147" s="38">
        <v>58</v>
      </c>
      <c r="F147" s="38">
        <v>130</v>
      </c>
      <c r="L147" s="36" t="str">
        <f t="shared" si="16"/>
        <v>P2S1A69</v>
      </c>
      <c r="M147" s="49">
        <v>2</v>
      </c>
      <c r="N147" s="49">
        <v>1</v>
      </c>
      <c r="O147" s="49">
        <v>1</v>
      </c>
      <c r="P147" s="50" t="s">
        <v>101</v>
      </c>
      <c r="Q147" s="51">
        <v>10132</v>
      </c>
      <c r="AZ147" s="53" t="str">
        <f t="shared" si="17"/>
        <v>P01S2A59</v>
      </c>
      <c r="BA147" s="53">
        <v>1</v>
      </c>
      <c r="BB147" s="53">
        <v>2</v>
      </c>
      <c r="BC147" s="53">
        <v>59</v>
      </c>
      <c r="BD147" s="53">
        <v>213</v>
      </c>
      <c r="BF147" s="53" t="str">
        <f t="shared" si="18"/>
        <v>P01S2A59</v>
      </c>
      <c r="BG147" s="53">
        <v>1</v>
      </c>
      <c r="BH147" s="53">
        <v>2</v>
      </c>
      <c r="BI147" s="173">
        <v>59</v>
      </c>
      <c r="BJ147" s="173">
        <v>1305</v>
      </c>
    </row>
    <row r="148" spans="1:62">
      <c r="A148" s="38" t="str">
        <f t="shared" si="15"/>
        <v>P10S1A59</v>
      </c>
      <c r="B148" s="38" t="s">
        <v>130</v>
      </c>
      <c r="C148" s="38">
        <v>10</v>
      </c>
      <c r="D148" s="38">
        <v>1</v>
      </c>
      <c r="E148" s="38">
        <v>59</v>
      </c>
      <c r="F148" s="38">
        <v>143</v>
      </c>
      <c r="L148" s="36" t="str">
        <f t="shared" si="16"/>
        <v>P2S1A70</v>
      </c>
      <c r="M148" s="49">
        <v>2</v>
      </c>
      <c r="N148" s="49">
        <v>1</v>
      </c>
      <c r="O148" s="49">
        <v>1</v>
      </c>
      <c r="P148" s="50" t="s">
        <v>102</v>
      </c>
      <c r="Q148" s="51">
        <v>12622</v>
      </c>
      <c r="AZ148" s="53" t="str">
        <f t="shared" si="17"/>
        <v>P01S2A60</v>
      </c>
      <c r="BA148" s="53">
        <v>1</v>
      </c>
      <c r="BB148" s="53">
        <v>2</v>
      </c>
      <c r="BC148" s="53">
        <v>60</v>
      </c>
      <c r="BD148" s="53">
        <v>250</v>
      </c>
      <c r="BF148" s="53" t="str">
        <f t="shared" si="18"/>
        <v>P01S2A60</v>
      </c>
      <c r="BG148" s="53">
        <v>1</v>
      </c>
      <c r="BH148" s="53">
        <v>2</v>
      </c>
      <c r="BI148" s="173">
        <v>60</v>
      </c>
      <c r="BJ148" s="173">
        <v>1340</v>
      </c>
    </row>
    <row r="149" spans="1:62">
      <c r="A149" s="38" t="str">
        <f t="shared" si="15"/>
        <v>P10S1A60</v>
      </c>
      <c r="B149" s="38" t="s">
        <v>130</v>
      </c>
      <c r="C149" s="38">
        <v>10</v>
      </c>
      <c r="D149" s="38">
        <v>1</v>
      </c>
      <c r="E149" s="38">
        <v>60</v>
      </c>
      <c r="F149" s="38">
        <v>157</v>
      </c>
      <c r="L149" s="36" t="str">
        <f t="shared" si="16"/>
        <v>P2S1A71</v>
      </c>
      <c r="M149" s="49">
        <v>2</v>
      </c>
      <c r="N149" s="49">
        <v>1</v>
      </c>
      <c r="O149" s="49">
        <v>1</v>
      </c>
      <c r="P149" s="50" t="s">
        <v>103</v>
      </c>
      <c r="Q149" s="51">
        <v>12622</v>
      </c>
      <c r="AZ149" s="53" t="str">
        <f t="shared" si="17"/>
        <v>P01S2A61</v>
      </c>
      <c r="BA149" s="53">
        <v>1</v>
      </c>
      <c r="BB149" s="53">
        <v>2</v>
      </c>
      <c r="BC149" s="53">
        <v>61</v>
      </c>
      <c r="BD149" s="53">
        <v>251</v>
      </c>
      <c r="BF149" s="53" t="str">
        <f t="shared" si="18"/>
        <v>P01S2A61</v>
      </c>
      <c r="BG149" s="53">
        <v>1</v>
      </c>
      <c r="BH149" s="53">
        <v>2</v>
      </c>
      <c r="BI149" s="173">
        <v>61</v>
      </c>
      <c r="BJ149" s="173">
        <v>1375</v>
      </c>
    </row>
    <row r="150" spans="1:62">
      <c r="A150" s="38" t="str">
        <f t="shared" si="15"/>
        <v>P10S1A61</v>
      </c>
      <c r="B150" s="38" t="s">
        <v>130</v>
      </c>
      <c r="C150" s="38">
        <v>10</v>
      </c>
      <c r="D150" s="38">
        <v>1</v>
      </c>
      <c r="E150" s="38">
        <v>61</v>
      </c>
      <c r="F150" s="38">
        <v>172</v>
      </c>
      <c r="L150" s="36" t="str">
        <f t="shared" si="16"/>
        <v>P2S1A72</v>
      </c>
      <c r="M150" s="49">
        <v>2</v>
      </c>
      <c r="N150" s="49">
        <v>1</v>
      </c>
      <c r="O150" s="49">
        <v>1</v>
      </c>
      <c r="P150" s="50" t="s">
        <v>104</v>
      </c>
      <c r="Q150" s="51">
        <v>12622</v>
      </c>
      <c r="AZ150" s="53" t="str">
        <f t="shared" si="17"/>
        <v>P01S2A62</v>
      </c>
      <c r="BA150" s="53">
        <v>1</v>
      </c>
      <c r="BB150" s="53">
        <v>2</v>
      </c>
      <c r="BC150" s="53">
        <v>62</v>
      </c>
      <c r="BD150" s="53">
        <v>251</v>
      </c>
      <c r="BF150" s="53" t="str">
        <f t="shared" si="18"/>
        <v>P01S2A62</v>
      </c>
      <c r="BG150" s="53">
        <v>1</v>
      </c>
      <c r="BH150" s="53">
        <v>2</v>
      </c>
      <c r="BI150" s="173">
        <v>62</v>
      </c>
      <c r="BJ150" s="173">
        <v>1430</v>
      </c>
    </row>
    <row r="151" spans="1:62">
      <c r="A151" s="38" t="str">
        <f t="shared" si="15"/>
        <v>P10S1A62</v>
      </c>
      <c r="B151" s="38" t="s">
        <v>130</v>
      </c>
      <c r="C151" s="38">
        <v>10</v>
      </c>
      <c r="D151" s="38">
        <v>1</v>
      </c>
      <c r="E151" s="38">
        <v>62</v>
      </c>
      <c r="F151" s="38">
        <v>189</v>
      </c>
      <c r="L151" s="36" t="str">
        <f t="shared" si="16"/>
        <v>P2S1A73</v>
      </c>
      <c r="M151" s="49">
        <v>2</v>
      </c>
      <c r="N151" s="49">
        <v>1</v>
      </c>
      <c r="O151" s="49">
        <v>1</v>
      </c>
      <c r="P151" s="50" t="s">
        <v>105</v>
      </c>
      <c r="Q151" s="51">
        <v>12622</v>
      </c>
      <c r="AZ151" s="53" t="str">
        <f t="shared" si="17"/>
        <v>P01S2A63</v>
      </c>
      <c r="BA151" s="53">
        <v>1</v>
      </c>
      <c r="BB151" s="53">
        <v>2</v>
      </c>
      <c r="BC151" s="53">
        <v>63</v>
      </c>
      <c r="BD151" s="53">
        <v>252</v>
      </c>
      <c r="BF151" s="53" t="str">
        <f t="shared" si="18"/>
        <v>P01S2A63</v>
      </c>
      <c r="BG151" s="53">
        <v>1</v>
      </c>
      <c r="BH151" s="53">
        <v>2</v>
      </c>
      <c r="BI151" s="173">
        <v>63</v>
      </c>
      <c r="BJ151" s="173">
        <v>1483</v>
      </c>
    </row>
    <row r="152" spans="1:62">
      <c r="A152" s="38" t="str">
        <f t="shared" si="15"/>
        <v>P10S1A63</v>
      </c>
      <c r="B152" s="38" t="s">
        <v>130</v>
      </c>
      <c r="C152" s="38">
        <v>10</v>
      </c>
      <c r="D152" s="38">
        <v>1</v>
      </c>
      <c r="E152" s="38">
        <v>63</v>
      </c>
      <c r="F152" s="38">
        <v>208</v>
      </c>
      <c r="L152" s="36" t="str">
        <f t="shared" si="16"/>
        <v>P2S1A74</v>
      </c>
      <c r="M152" s="49">
        <v>2</v>
      </c>
      <c r="N152" s="49">
        <v>1</v>
      </c>
      <c r="O152" s="49">
        <v>1</v>
      </c>
      <c r="P152" s="50" t="s">
        <v>106</v>
      </c>
      <c r="Q152" s="51">
        <v>12622</v>
      </c>
      <c r="AZ152" s="53" t="str">
        <f t="shared" si="17"/>
        <v>P01S2A64</v>
      </c>
      <c r="BA152" s="53">
        <v>1</v>
      </c>
      <c r="BB152" s="53">
        <v>2</v>
      </c>
      <c r="BC152" s="53">
        <v>64</v>
      </c>
      <c r="BD152" s="53">
        <v>252</v>
      </c>
      <c r="BF152" s="53" t="str">
        <f t="shared" si="18"/>
        <v>P01S2A64</v>
      </c>
      <c r="BG152" s="53">
        <v>1</v>
      </c>
      <c r="BH152" s="53">
        <v>2</v>
      </c>
      <c r="BI152" s="173">
        <v>64</v>
      </c>
      <c r="BJ152" s="173">
        <v>1538</v>
      </c>
    </row>
    <row r="153" spans="1:62">
      <c r="A153" s="38" t="str">
        <f t="shared" si="15"/>
        <v>P10S1A64</v>
      </c>
      <c r="B153" s="38" t="s">
        <v>130</v>
      </c>
      <c r="C153" s="38">
        <v>10</v>
      </c>
      <c r="D153" s="38">
        <v>1</v>
      </c>
      <c r="E153" s="38">
        <v>64</v>
      </c>
      <c r="F153" s="38">
        <v>229</v>
      </c>
      <c r="L153" s="36" t="str">
        <f t="shared" si="16"/>
        <v>P2S1A75</v>
      </c>
      <c r="M153" s="49">
        <v>2</v>
      </c>
      <c r="N153" s="49">
        <v>1</v>
      </c>
      <c r="O153" s="49">
        <v>1</v>
      </c>
      <c r="P153" s="50" t="s">
        <v>107</v>
      </c>
      <c r="Q153" s="51">
        <v>12622</v>
      </c>
      <c r="AZ153" s="53" t="str">
        <f t="shared" si="17"/>
        <v>P01S2A65</v>
      </c>
      <c r="BA153" s="53">
        <v>1</v>
      </c>
      <c r="BB153" s="53">
        <v>2</v>
      </c>
      <c r="BC153" s="53">
        <v>65</v>
      </c>
      <c r="BD153" s="53">
        <v>272</v>
      </c>
      <c r="BF153" s="53" t="str">
        <f t="shared" si="18"/>
        <v>P01S2A65</v>
      </c>
      <c r="BG153" s="53">
        <v>1</v>
      </c>
      <c r="BH153" s="53">
        <v>2</v>
      </c>
      <c r="BI153" s="173">
        <v>65</v>
      </c>
      <c r="BJ153" s="173">
        <v>1573</v>
      </c>
    </row>
    <row r="154" spans="1:62">
      <c r="A154" s="38" t="str">
        <f t="shared" si="15"/>
        <v>P10S1A65</v>
      </c>
      <c r="B154" s="38" t="s">
        <v>130</v>
      </c>
      <c r="C154" s="38">
        <v>10</v>
      </c>
      <c r="D154" s="38">
        <v>1</v>
      </c>
      <c r="E154" s="38">
        <v>65</v>
      </c>
      <c r="F154" s="38">
        <v>252</v>
      </c>
      <c r="L154" s="36" t="str">
        <f t="shared" si="16"/>
        <v>P3S1A00</v>
      </c>
      <c r="M154" s="49">
        <v>3</v>
      </c>
      <c r="N154" s="49">
        <v>1</v>
      </c>
      <c r="O154" s="49">
        <v>1</v>
      </c>
      <c r="P154" s="50" t="s">
        <v>32</v>
      </c>
      <c r="Q154" s="51">
        <v>3594</v>
      </c>
      <c r="AZ154" s="53" t="str">
        <f t="shared" si="17"/>
        <v>P01S2A66</v>
      </c>
      <c r="BA154" s="53">
        <v>1</v>
      </c>
      <c r="BB154" s="53">
        <v>2</v>
      </c>
      <c r="BC154" s="53">
        <v>66</v>
      </c>
      <c r="BD154" s="53">
        <v>272</v>
      </c>
      <c r="BF154" s="53" t="str">
        <f t="shared" si="18"/>
        <v>P01S2A66</v>
      </c>
      <c r="BG154" s="53">
        <v>1</v>
      </c>
      <c r="BH154" s="53">
        <v>2</v>
      </c>
      <c r="BI154" s="173">
        <v>66</v>
      </c>
      <c r="BJ154" s="173">
        <v>1608</v>
      </c>
    </row>
    <row r="155" spans="1:62">
      <c r="A155" s="38" t="str">
        <f t="shared" si="15"/>
        <v>P10S2A15</v>
      </c>
      <c r="B155" s="38" t="s">
        <v>130</v>
      </c>
      <c r="C155" s="38">
        <v>10</v>
      </c>
      <c r="D155" s="38">
        <v>2</v>
      </c>
      <c r="E155" s="38">
        <v>15</v>
      </c>
      <c r="F155" s="38">
        <v>4</v>
      </c>
      <c r="L155" s="36" t="str">
        <f t="shared" si="16"/>
        <v>P3S1A01</v>
      </c>
      <c r="M155" s="49">
        <v>3</v>
      </c>
      <c r="N155" s="49">
        <v>1</v>
      </c>
      <c r="O155" s="49">
        <v>1</v>
      </c>
      <c r="P155" s="50" t="s">
        <v>33</v>
      </c>
      <c r="Q155" s="51">
        <v>3594</v>
      </c>
      <c r="AZ155" s="53" t="str">
        <f t="shared" si="17"/>
        <v>P01S2A67</v>
      </c>
      <c r="BA155" s="53">
        <v>1</v>
      </c>
      <c r="BB155" s="53">
        <v>2</v>
      </c>
      <c r="BC155" s="53">
        <v>67</v>
      </c>
      <c r="BD155" s="53">
        <v>273</v>
      </c>
      <c r="BF155" s="53" t="str">
        <f t="shared" si="18"/>
        <v>P01S2A67</v>
      </c>
      <c r="BG155" s="53">
        <v>1</v>
      </c>
      <c r="BH155" s="53">
        <v>2</v>
      </c>
      <c r="BI155" s="173">
        <v>67</v>
      </c>
      <c r="BJ155" s="173">
        <v>1643</v>
      </c>
    </row>
    <row r="156" spans="1:62">
      <c r="A156" s="38" t="str">
        <f t="shared" si="15"/>
        <v>P10S2A16</v>
      </c>
      <c r="B156" s="38" t="s">
        <v>130</v>
      </c>
      <c r="C156" s="38">
        <v>10</v>
      </c>
      <c r="D156" s="38">
        <v>2</v>
      </c>
      <c r="E156" s="38">
        <v>16</v>
      </c>
      <c r="F156" s="38">
        <v>4</v>
      </c>
      <c r="L156" s="36" t="str">
        <f t="shared" si="16"/>
        <v>P3S1A02</v>
      </c>
      <c r="M156" s="49">
        <v>3</v>
      </c>
      <c r="N156" s="49">
        <v>1</v>
      </c>
      <c r="O156" s="49">
        <v>1</v>
      </c>
      <c r="P156" s="50" t="s">
        <v>34</v>
      </c>
      <c r="Q156" s="51">
        <v>3594</v>
      </c>
      <c r="AZ156" s="53" t="str">
        <f t="shared" si="17"/>
        <v>P01S2A68</v>
      </c>
      <c r="BA156" s="53">
        <v>1</v>
      </c>
      <c r="BB156" s="53">
        <v>2</v>
      </c>
      <c r="BC156" s="53">
        <v>68</v>
      </c>
      <c r="BD156" s="53">
        <v>273</v>
      </c>
      <c r="BF156" s="53" t="str">
        <f t="shared" si="18"/>
        <v>P01S2A68</v>
      </c>
      <c r="BG156" s="53">
        <v>1</v>
      </c>
      <c r="BH156" s="53">
        <v>2</v>
      </c>
      <c r="BI156" s="173">
        <v>68</v>
      </c>
      <c r="BJ156" s="173">
        <v>1693</v>
      </c>
    </row>
    <row r="157" spans="1:62">
      <c r="A157" s="38" t="str">
        <f t="shared" si="15"/>
        <v>P10S2A17</v>
      </c>
      <c r="B157" s="38" t="s">
        <v>130</v>
      </c>
      <c r="C157" s="38">
        <v>10</v>
      </c>
      <c r="D157" s="38">
        <v>2</v>
      </c>
      <c r="E157" s="38">
        <v>17</v>
      </c>
      <c r="F157" s="38">
        <v>4</v>
      </c>
      <c r="L157" s="36" t="str">
        <f t="shared" si="16"/>
        <v>P3S1A03</v>
      </c>
      <c r="M157" s="49">
        <v>3</v>
      </c>
      <c r="N157" s="49">
        <v>1</v>
      </c>
      <c r="O157" s="49">
        <v>1</v>
      </c>
      <c r="P157" s="50" t="s">
        <v>35</v>
      </c>
      <c r="Q157" s="51">
        <v>3594</v>
      </c>
      <c r="AZ157" s="53" t="str">
        <f t="shared" si="17"/>
        <v>P01S2A69</v>
      </c>
      <c r="BA157" s="53">
        <v>1</v>
      </c>
      <c r="BB157" s="53">
        <v>2</v>
      </c>
      <c r="BC157" s="53">
        <v>69</v>
      </c>
      <c r="BD157" s="53">
        <v>274</v>
      </c>
      <c r="BF157" s="53" t="str">
        <f t="shared" si="18"/>
        <v>P01S2A69</v>
      </c>
      <c r="BG157" s="53">
        <v>1</v>
      </c>
      <c r="BH157" s="53">
        <v>2</v>
      </c>
      <c r="BI157" s="173">
        <v>69</v>
      </c>
      <c r="BJ157" s="173">
        <v>1742</v>
      </c>
    </row>
    <row r="158" spans="1:62">
      <c r="A158" s="38" t="str">
        <f t="shared" si="15"/>
        <v>P10S2A18</v>
      </c>
      <c r="B158" s="38" t="s">
        <v>130</v>
      </c>
      <c r="C158" s="38">
        <v>10</v>
      </c>
      <c r="D158" s="38">
        <v>2</v>
      </c>
      <c r="E158" s="38">
        <v>18</v>
      </c>
      <c r="F158" s="38">
        <v>4</v>
      </c>
      <c r="L158" s="36" t="str">
        <f t="shared" si="16"/>
        <v>P3S1A04</v>
      </c>
      <c r="M158" s="49">
        <v>3</v>
      </c>
      <c r="N158" s="49">
        <v>1</v>
      </c>
      <c r="O158" s="49">
        <v>1</v>
      </c>
      <c r="P158" s="50" t="s">
        <v>36</v>
      </c>
      <c r="Q158" s="51">
        <v>3594</v>
      </c>
      <c r="AZ158" s="53" t="str">
        <f t="shared" si="17"/>
        <v>P01S2A70</v>
      </c>
      <c r="BA158" s="53">
        <v>1</v>
      </c>
      <c r="BB158" s="53">
        <v>2</v>
      </c>
      <c r="BC158" s="53">
        <v>70</v>
      </c>
      <c r="BD158" s="53">
        <v>311</v>
      </c>
      <c r="BF158" s="53" t="str">
        <f t="shared" si="18"/>
        <v>P01S2A70</v>
      </c>
      <c r="BG158" s="53">
        <v>1</v>
      </c>
      <c r="BH158" s="53">
        <v>2</v>
      </c>
      <c r="BI158" s="173">
        <v>70</v>
      </c>
      <c r="BJ158" s="173">
        <v>1793</v>
      </c>
    </row>
    <row r="159" spans="1:62">
      <c r="A159" s="38" t="str">
        <f t="shared" si="15"/>
        <v>P10S2A19</v>
      </c>
      <c r="B159" s="38" t="s">
        <v>130</v>
      </c>
      <c r="C159" s="38">
        <v>10</v>
      </c>
      <c r="D159" s="38">
        <v>2</v>
      </c>
      <c r="E159" s="38">
        <v>19</v>
      </c>
      <c r="F159" s="38">
        <v>4</v>
      </c>
      <c r="L159" s="36" t="str">
        <f t="shared" si="16"/>
        <v>P3S1A05</v>
      </c>
      <c r="M159" s="49">
        <v>3</v>
      </c>
      <c r="N159" s="49">
        <v>1</v>
      </c>
      <c r="O159" s="49">
        <v>1</v>
      </c>
      <c r="P159" s="50" t="s">
        <v>37</v>
      </c>
      <c r="Q159" s="51">
        <v>3594</v>
      </c>
      <c r="AZ159" s="53" t="str">
        <f t="shared" si="17"/>
        <v>P01S2A71</v>
      </c>
      <c r="BA159" s="53">
        <v>1</v>
      </c>
      <c r="BB159" s="53">
        <v>2</v>
      </c>
      <c r="BC159" s="53">
        <v>71</v>
      </c>
      <c r="BD159" s="53">
        <v>311</v>
      </c>
      <c r="BF159" s="53" t="str">
        <f t="shared" si="18"/>
        <v>P01S2A71</v>
      </c>
      <c r="BG159" s="53">
        <v>1</v>
      </c>
      <c r="BH159" s="53">
        <v>2</v>
      </c>
      <c r="BI159" s="173">
        <v>71</v>
      </c>
      <c r="BJ159" s="173">
        <v>1845</v>
      </c>
    </row>
    <row r="160" spans="1:62">
      <c r="A160" s="38" t="str">
        <f t="shared" si="15"/>
        <v>P10S2A20</v>
      </c>
      <c r="B160" s="38" t="s">
        <v>130</v>
      </c>
      <c r="C160" s="38">
        <v>10</v>
      </c>
      <c r="D160" s="38">
        <v>2</v>
      </c>
      <c r="E160" s="38">
        <v>20</v>
      </c>
      <c r="F160" s="38">
        <v>4</v>
      </c>
      <c r="L160" s="36" t="str">
        <f t="shared" si="16"/>
        <v>P3S1A06</v>
      </c>
      <c r="M160" s="49">
        <v>3</v>
      </c>
      <c r="N160" s="49">
        <v>1</v>
      </c>
      <c r="O160" s="49">
        <v>1</v>
      </c>
      <c r="P160" s="50" t="s">
        <v>38</v>
      </c>
      <c r="Q160" s="51">
        <v>3594</v>
      </c>
      <c r="AZ160" s="53" t="str">
        <f t="shared" si="17"/>
        <v>P01S2A72</v>
      </c>
      <c r="BA160" s="53">
        <v>1</v>
      </c>
      <c r="BB160" s="53">
        <v>2</v>
      </c>
      <c r="BC160" s="53">
        <v>72</v>
      </c>
      <c r="BD160" s="53">
        <v>312</v>
      </c>
      <c r="BF160" s="53" t="str">
        <f t="shared" si="18"/>
        <v>P01S2A72</v>
      </c>
      <c r="BG160" s="53">
        <v>1</v>
      </c>
      <c r="BH160" s="53">
        <v>2</v>
      </c>
      <c r="BI160" s="173">
        <v>72</v>
      </c>
      <c r="BJ160" s="173">
        <v>1897</v>
      </c>
    </row>
    <row r="161" spans="1:62">
      <c r="A161" s="38" t="str">
        <f t="shared" si="15"/>
        <v>P10S2A21</v>
      </c>
      <c r="B161" s="38" t="s">
        <v>130</v>
      </c>
      <c r="C161" s="38">
        <v>10</v>
      </c>
      <c r="D161" s="38">
        <v>2</v>
      </c>
      <c r="E161" s="38">
        <v>21</v>
      </c>
      <c r="F161" s="38">
        <v>4</v>
      </c>
      <c r="L161" s="36" t="str">
        <f t="shared" si="16"/>
        <v>P3S1A07</v>
      </c>
      <c r="M161" s="49">
        <v>3</v>
      </c>
      <c r="N161" s="49">
        <v>1</v>
      </c>
      <c r="O161" s="49">
        <v>1</v>
      </c>
      <c r="P161" s="50" t="s">
        <v>39</v>
      </c>
      <c r="Q161" s="51">
        <v>3594</v>
      </c>
      <c r="AZ161" s="53" t="str">
        <f t="shared" si="17"/>
        <v>P01S2A73</v>
      </c>
      <c r="BA161" s="53">
        <v>1</v>
      </c>
      <c r="BB161" s="53">
        <v>2</v>
      </c>
      <c r="BC161" s="53">
        <v>73</v>
      </c>
      <c r="BD161" s="53">
        <v>313</v>
      </c>
      <c r="BF161" s="53" t="str">
        <f t="shared" si="18"/>
        <v>P01S2A73</v>
      </c>
      <c r="BG161" s="53">
        <v>1</v>
      </c>
      <c r="BH161" s="53">
        <v>2</v>
      </c>
      <c r="BI161" s="173">
        <v>73</v>
      </c>
      <c r="BJ161" s="173">
        <v>1924</v>
      </c>
    </row>
    <row r="162" spans="1:62">
      <c r="A162" s="38" t="str">
        <f t="shared" ref="A162:A193" si="19">"P"&amp;REPT("0",2-LEN(C162))&amp;C162&amp;"S"&amp;D162&amp;"A"&amp;REPT("0",2-LEN(E162))&amp;E162</f>
        <v>P10S2A22</v>
      </c>
      <c r="B162" s="38" t="s">
        <v>130</v>
      </c>
      <c r="C162" s="38">
        <v>10</v>
      </c>
      <c r="D162" s="38">
        <v>2</v>
      </c>
      <c r="E162" s="38">
        <v>22</v>
      </c>
      <c r="F162" s="38">
        <v>5</v>
      </c>
      <c r="L162" s="36" t="str">
        <f t="shared" ref="L162:L193" si="20">"P"&amp;M162&amp;"S"&amp;O162&amp;"A"&amp;REPT("0",2-LEN(P162))&amp;P162</f>
        <v>P3S1A08</v>
      </c>
      <c r="M162" s="49">
        <v>3</v>
      </c>
      <c r="N162" s="49">
        <v>1</v>
      </c>
      <c r="O162" s="49">
        <v>1</v>
      </c>
      <c r="P162" s="50" t="s">
        <v>40</v>
      </c>
      <c r="Q162" s="51">
        <v>3594</v>
      </c>
      <c r="AZ162" s="53" t="str">
        <f t="shared" ref="AZ162:AZ173" si="21">"P"&amp;REPT("0",2-LEN(BA162))&amp;BA162&amp;"S"&amp;BB162&amp;"A"&amp;REPT("0",2-LEN(BC162))&amp;BC162</f>
        <v>P01S2A74</v>
      </c>
      <c r="BA162" s="53">
        <v>1</v>
      </c>
      <c r="BB162" s="53">
        <v>2</v>
      </c>
      <c r="BC162" s="53">
        <v>74</v>
      </c>
      <c r="BD162" s="53">
        <v>314</v>
      </c>
      <c r="BF162" s="53" t="str">
        <f t="shared" si="18"/>
        <v>P01S2A74</v>
      </c>
      <c r="BG162" s="53">
        <v>1</v>
      </c>
      <c r="BH162" s="53">
        <v>2</v>
      </c>
      <c r="BI162" s="173">
        <v>74</v>
      </c>
      <c r="BJ162" s="173">
        <v>1950</v>
      </c>
    </row>
    <row r="163" spans="1:62">
      <c r="A163" s="38" t="str">
        <f t="shared" si="19"/>
        <v>P10S2A23</v>
      </c>
      <c r="B163" s="38" t="s">
        <v>130</v>
      </c>
      <c r="C163" s="38">
        <v>10</v>
      </c>
      <c r="D163" s="38">
        <v>2</v>
      </c>
      <c r="E163" s="38">
        <v>23</v>
      </c>
      <c r="F163" s="38">
        <v>5</v>
      </c>
      <c r="L163" s="36" t="str">
        <f t="shared" si="20"/>
        <v>P3S1A09</v>
      </c>
      <c r="M163" s="49">
        <v>3</v>
      </c>
      <c r="N163" s="49">
        <v>1</v>
      </c>
      <c r="O163" s="49">
        <v>1</v>
      </c>
      <c r="P163" s="50" t="s">
        <v>41</v>
      </c>
      <c r="Q163" s="51">
        <v>3594</v>
      </c>
      <c r="AZ163" s="53" t="str">
        <f t="shared" si="21"/>
        <v>P01S2A75</v>
      </c>
      <c r="BA163" s="53">
        <v>1</v>
      </c>
      <c r="BB163" s="53">
        <v>2</v>
      </c>
      <c r="BC163" s="53">
        <v>75</v>
      </c>
      <c r="BD163" s="53">
        <v>317</v>
      </c>
      <c r="BF163" s="53" t="str">
        <f t="shared" si="18"/>
        <v>P01S2A75</v>
      </c>
      <c r="BG163" s="53">
        <v>1</v>
      </c>
      <c r="BH163" s="53">
        <v>2</v>
      </c>
      <c r="BI163" s="173">
        <v>75</v>
      </c>
      <c r="BJ163" s="173">
        <v>1976</v>
      </c>
    </row>
    <row r="164" spans="1:62">
      <c r="A164" s="38" t="str">
        <f t="shared" si="19"/>
        <v>P10S2A24</v>
      </c>
      <c r="B164" s="38" t="s">
        <v>130</v>
      </c>
      <c r="C164" s="38">
        <v>10</v>
      </c>
      <c r="D164" s="38">
        <v>2</v>
      </c>
      <c r="E164" s="38">
        <v>24</v>
      </c>
      <c r="F164" s="38">
        <v>6</v>
      </c>
      <c r="L164" s="36" t="str">
        <f t="shared" si="20"/>
        <v>P3S1A10</v>
      </c>
      <c r="M164" s="49">
        <v>3</v>
      </c>
      <c r="N164" s="49">
        <v>1</v>
      </c>
      <c r="O164" s="49">
        <v>1</v>
      </c>
      <c r="P164" s="50" t="s">
        <v>42</v>
      </c>
      <c r="Q164" s="51">
        <v>3594</v>
      </c>
      <c r="AZ164" s="53" t="str">
        <f t="shared" si="21"/>
        <v>P01S2A76</v>
      </c>
      <c r="BA164" s="53">
        <v>1</v>
      </c>
      <c r="BB164" s="53">
        <v>2</v>
      </c>
      <c r="BC164" s="53">
        <v>76</v>
      </c>
      <c r="BD164" s="53">
        <v>317</v>
      </c>
      <c r="BF164" s="53" t="str">
        <f t="shared" si="18"/>
        <v>P01S2A76</v>
      </c>
      <c r="BG164" s="53">
        <v>1</v>
      </c>
      <c r="BH164" s="53">
        <v>2</v>
      </c>
      <c r="BI164" s="173">
        <v>76</v>
      </c>
      <c r="BJ164" s="173">
        <v>2041</v>
      </c>
    </row>
    <row r="165" spans="1:62">
      <c r="A165" s="38" t="str">
        <f t="shared" si="19"/>
        <v>P10S2A25</v>
      </c>
      <c r="B165" s="38" t="s">
        <v>130</v>
      </c>
      <c r="C165" s="38">
        <v>10</v>
      </c>
      <c r="D165" s="38">
        <v>2</v>
      </c>
      <c r="E165" s="38">
        <v>25</v>
      </c>
      <c r="F165" s="38">
        <v>6</v>
      </c>
      <c r="L165" s="36" t="str">
        <f t="shared" si="20"/>
        <v>P3S1A11</v>
      </c>
      <c r="M165" s="49">
        <v>3</v>
      </c>
      <c r="N165" s="49">
        <v>1</v>
      </c>
      <c r="O165" s="49">
        <v>1</v>
      </c>
      <c r="P165" s="50" t="s">
        <v>43</v>
      </c>
      <c r="Q165" s="51">
        <v>3594</v>
      </c>
      <c r="AZ165" s="53" t="str">
        <f t="shared" si="21"/>
        <v>P01S2A77</v>
      </c>
      <c r="BA165" s="53">
        <v>1</v>
      </c>
      <c r="BB165" s="53">
        <v>2</v>
      </c>
      <c r="BC165" s="53">
        <v>77</v>
      </c>
      <c r="BD165" s="53">
        <v>318</v>
      </c>
      <c r="BF165" s="53" t="str">
        <f t="shared" si="18"/>
        <v>P01S2A77</v>
      </c>
      <c r="BG165" s="53">
        <v>1</v>
      </c>
      <c r="BH165" s="53">
        <v>2</v>
      </c>
      <c r="BI165" s="173">
        <v>77</v>
      </c>
      <c r="BJ165" s="173">
        <v>2109</v>
      </c>
    </row>
    <row r="166" spans="1:62">
      <c r="A166" s="38" t="str">
        <f t="shared" si="19"/>
        <v>P10S2A26</v>
      </c>
      <c r="B166" s="38" t="s">
        <v>130</v>
      </c>
      <c r="C166" s="38">
        <v>10</v>
      </c>
      <c r="D166" s="38">
        <v>2</v>
      </c>
      <c r="E166" s="38">
        <v>26</v>
      </c>
      <c r="F166" s="38">
        <v>7</v>
      </c>
      <c r="L166" s="36" t="str">
        <f t="shared" si="20"/>
        <v>P3S1A12</v>
      </c>
      <c r="M166" s="49">
        <v>3</v>
      </c>
      <c r="N166" s="49">
        <v>1</v>
      </c>
      <c r="O166" s="49">
        <v>1</v>
      </c>
      <c r="P166" s="50" t="s">
        <v>44</v>
      </c>
      <c r="Q166" s="51">
        <v>3594</v>
      </c>
      <c r="AZ166" s="53" t="str">
        <f t="shared" si="21"/>
        <v>P01S2A78</v>
      </c>
      <c r="BA166" s="53">
        <v>1</v>
      </c>
      <c r="BB166" s="53">
        <v>2</v>
      </c>
      <c r="BC166" s="53">
        <v>78</v>
      </c>
      <c r="BD166" s="53">
        <v>319</v>
      </c>
      <c r="BF166" s="53" t="str">
        <f t="shared" si="18"/>
        <v>P01S2A78</v>
      </c>
      <c r="BG166" s="53">
        <v>1</v>
      </c>
      <c r="BH166" s="53">
        <v>2</v>
      </c>
      <c r="BI166" s="173">
        <v>78</v>
      </c>
      <c r="BJ166" s="173">
        <v>2157</v>
      </c>
    </row>
    <row r="167" spans="1:62">
      <c r="A167" s="38" t="str">
        <f t="shared" si="19"/>
        <v>P10S2A27</v>
      </c>
      <c r="B167" s="38" t="s">
        <v>130</v>
      </c>
      <c r="C167" s="38">
        <v>10</v>
      </c>
      <c r="D167" s="38">
        <v>2</v>
      </c>
      <c r="E167" s="38">
        <v>27</v>
      </c>
      <c r="F167" s="38">
        <v>7</v>
      </c>
      <c r="L167" s="36" t="str">
        <f t="shared" si="20"/>
        <v>P3S1A13</v>
      </c>
      <c r="M167" s="49">
        <v>3</v>
      </c>
      <c r="N167" s="49">
        <v>1</v>
      </c>
      <c r="O167" s="49">
        <v>1</v>
      </c>
      <c r="P167" s="50" t="s">
        <v>45</v>
      </c>
      <c r="Q167" s="51">
        <v>3594</v>
      </c>
      <c r="AZ167" s="53" t="str">
        <f t="shared" si="21"/>
        <v>P01S2A79</v>
      </c>
      <c r="BA167" s="53">
        <v>1</v>
      </c>
      <c r="BB167" s="53">
        <v>2</v>
      </c>
      <c r="BC167" s="53">
        <v>79</v>
      </c>
      <c r="BD167" s="53">
        <v>320</v>
      </c>
      <c r="BF167" s="53" t="str">
        <f t="shared" si="18"/>
        <v>P01S2A79</v>
      </c>
      <c r="BG167" s="53">
        <v>1</v>
      </c>
      <c r="BH167" s="53">
        <v>2</v>
      </c>
      <c r="BI167" s="173">
        <v>79</v>
      </c>
      <c r="BJ167" s="173">
        <v>2207</v>
      </c>
    </row>
    <row r="168" spans="1:62">
      <c r="A168" s="38" t="str">
        <f t="shared" si="19"/>
        <v>P10S2A28</v>
      </c>
      <c r="B168" s="38" t="s">
        <v>130</v>
      </c>
      <c r="C168" s="38">
        <v>10</v>
      </c>
      <c r="D168" s="38">
        <v>2</v>
      </c>
      <c r="E168" s="38">
        <v>28</v>
      </c>
      <c r="F168" s="38">
        <v>8</v>
      </c>
      <c r="L168" s="36" t="str">
        <f t="shared" si="20"/>
        <v>P3S1A14</v>
      </c>
      <c r="M168" s="49">
        <v>3</v>
      </c>
      <c r="N168" s="49">
        <v>1</v>
      </c>
      <c r="O168" s="49">
        <v>1</v>
      </c>
      <c r="P168" s="50" t="s">
        <v>46</v>
      </c>
      <c r="Q168" s="51">
        <v>3594</v>
      </c>
      <c r="AZ168" s="53" t="str">
        <f t="shared" si="21"/>
        <v>P01S2A80</v>
      </c>
      <c r="BA168" s="53">
        <v>1</v>
      </c>
      <c r="BB168" s="53">
        <v>2</v>
      </c>
      <c r="BC168" s="53">
        <v>80</v>
      </c>
      <c r="BD168" s="53">
        <v>314</v>
      </c>
      <c r="BF168" s="53" t="str">
        <f t="shared" si="18"/>
        <v>P01S2A80</v>
      </c>
      <c r="BG168" s="53">
        <v>1</v>
      </c>
      <c r="BH168" s="53">
        <v>2</v>
      </c>
      <c r="BI168" s="173">
        <v>80</v>
      </c>
      <c r="BJ168" s="173">
        <v>2257</v>
      </c>
    </row>
    <row r="169" spans="1:62">
      <c r="A169" s="38" t="str">
        <f t="shared" si="19"/>
        <v>P10S2A29</v>
      </c>
      <c r="B169" s="38" t="s">
        <v>130</v>
      </c>
      <c r="C169" s="38">
        <v>10</v>
      </c>
      <c r="D169" s="38">
        <v>2</v>
      </c>
      <c r="E169" s="38">
        <v>29</v>
      </c>
      <c r="F169" s="38">
        <v>8</v>
      </c>
      <c r="L169" s="36" t="str">
        <f t="shared" si="20"/>
        <v>P3S1A15</v>
      </c>
      <c r="M169" s="49">
        <v>3</v>
      </c>
      <c r="N169" s="49">
        <v>1</v>
      </c>
      <c r="O169" s="49">
        <v>1</v>
      </c>
      <c r="P169" s="50" t="s">
        <v>47</v>
      </c>
      <c r="Q169" s="51">
        <v>1932</v>
      </c>
      <c r="AZ169" s="53" t="str">
        <f t="shared" si="21"/>
        <v>P01S2A81</v>
      </c>
      <c r="BA169" s="53">
        <v>1</v>
      </c>
      <c r="BB169" s="53">
        <v>2</v>
      </c>
      <c r="BC169" s="53">
        <v>81</v>
      </c>
      <c r="BD169" s="53">
        <v>314</v>
      </c>
      <c r="BF169" s="53" t="str">
        <f t="shared" si="18"/>
        <v>P01S2A81</v>
      </c>
      <c r="BG169" s="53">
        <v>1</v>
      </c>
      <c r="BH169" s="53">
        <v>2</v>
      </c>
      <c r="BI169" s="173">
        <v>81</v>
      </c>
      <c r="BJ169" s="173">
        <v>2309</v>
      </c>
    </row>
    <row r="170" spans="1:62">
      <c r="A170" s="38" t="str">
        <f t="shared" si="19"/>
        <v>P10S2A30</v>
      </c>
      <c r="B170" s="38" t="s">
        <v>130</v>
      </c>
      <c r="C170" s="38">
        <v>10</v>
      </c>
      <c r="D170" s="38">
        <v>2</v>
      </c>
      <c r="E170" s="38">
        <v>30</v>
      </c>
      <c r="F170" s="38">
        <v>9</v>
      </c>
      <c r="L170" s="36" t="str">
        <f t="shared" si="20"/>
        <v>P3S1A16</v>
      </c>
      <c r="M170" s="49">
        <v>3</v>
      </c>
      <c r="N170" s="49">
        <v>1</v>
      </c>
      <c r="O170" s="49">
        <v>1</v>
      </c>
      <c r="P170" s="50" t="s">
        <v>48</v>
      </c>
      <c r="Q170" s="51">
        <v>1932</v>
      </c>
      <c r="AZ170" s="53" t="str">
        <f t="shared" si="21"/>
        <v>P01S2A82</v>
      </c>
      <c r="BA170" s="53">
        <v>1</v>
      </c>
      <c r="BB170" s="53">
        <v>2</v>
      </c>
      <c r="BC170" s="53">
        <v>82</v>
      </c>
      <c r="BD170" s="53">
        <v>315</v>
      </c>
      <c r="BF170" s="53" t="str">
        <f t="shared" si="18"/>
        <v>P01S2A82</v>
      </c>
      <c r="BG170" s="53">
        <v>1</v>
      </c>
      <c r="BH170" s="53">
        <v>2</v>
      </c>
      <c r="BI170" s="173">
        <v>82</v>
      </c>
      <c r="BJ170" s="173">
        <v>2362</v>
      </c>
    </row>
    <row r="171" spans="1:62">
      <c r="A171" s="38" t="str">
        <f t="shared" si="19"/>
        <v>P10S2A31</v>
      </c>
      <c r="B171" s="38" t="s">
        <v>130</v>
      </c>
      <c r="C171" s="38">
        <v>10</v>
      </c>
      <c r="D171" s="38">
        <v>2</v>
      </c>
      <c r="E171" s="38">
        <v>31</v>
      </c>
      <c r="F171" s="38">
        <v>9</v>
      </c>
      <c r="L171" s="36" t="str">
        <f t="shared" si="20"/>
        <v>P3S1A17</v>
      </c>
      <c r="M171" s="49">
        <v>3</v>
      </c>
      <c r="N171" s="49">
        <v>1</v>
      </c>
      <c r="O171" s="49">
        <v>1</v>
      </c>
      <c r="P171" s="50" t="s">
        <v>49</v>
      </c>
      <c r="Q171" s="51">
        <v>1932</v>
      </c>
      <c r="AZ171" s="53" t="str">
        <f t="shared" si="21"/>
        <v>P01S2A83</v>
      </c>
      <c r="BA171" s="53">
        <v>1</v>
      </c>
      <c r="BB171" s="53">
        <v>2</v>
      </c>
      <c r="BC171" s="53">
        <v>83</v>
      </c>
      <c r="BD171" s="53">
        <v>315</v>
      </c>
      <c r="BF171" s="53" t="str">
        <f t="shared" si="18"/>
        <v>P01S2A83</v>
      </c>
      <c r="BG171" s="53">
        <v>1</v>
      </c>
      <c r="BH171" s="53">
        <v>2</v>
      </c>
      <c r="BI171" s="173">
        <v>83</v>
      </c>
      <c r="BJ171" s="173">
        <v>2379</v>
      </c>
    </row>
    <row r="172" spans="1:62">
      <c r="A172" s="38" t="str">
        <f t="shared" si="19"/>
        <v>P10S2A32</v>
      </c>
      <c r="B172" s="38" t="s">
        <v>130</v>
      </c>
      <c r="C172" s="38">
        <v>10</v>
      </c>
      <c r="D172" s="38">
        <v>2</v>
      </c>
      <c r="E172" s="38">
        <v>32</v>
      </c>
      <c r="F172" s="38">
        <v>10</v>
      </c>
      <c r="L172" s="36" t="str">
        <f t="shared" si="20"/>
        <v>P3S1A18</v>
      </c>
      <c r="M172" s="49">
        <v>3</v>
      </c>
      <c r="N172" s="49">
        <v>1</v>
      </c>
      <c r="O172" s="49">
        <v>1</v>
      </c>
      <c r="P172" s="50" t="s">
        <v>50</v>
      </c>
      <c r="Q172" s="51">
        <v>1932</v>
      </c>
      <c r="AZ172" s="53" t="str">
        <f t="shared" si="21"/>
        <v>P01S2A84</v>
      </c>
      <c r="BA172" s="53">
        <v>1</v>
      </c>
      <c r="BB172" s="53">
        <v>2</v>
      </c>
      <c r="BC172" s="53">
        <v>84</v>
      </c>
      <c r="BD172" s="53">
        <v>315</v>
      </c>
      <c r="BF172" s="53" t="str">
        <f t="shared" si="18"/>
        <v>P01S2A84</v>
      </c>
      <c r="BG172" s="53">
        <v>1</v>
      </c>
      <c r="BH172" s="53">
        <v>2</v>
      </c>
      <c r="BI172" s="173">
        <v>84</v>
      </c>
      <c r="BJ172" s="173">
        <v>2397</v>
      </c>
    </row>
    <row r="173" spans="1:62">
      <c r="A173" s="38" t="str">
        <f t="shared" si="19"/>
        <v>P10S2A33</v>
      </c>
      <c r="B173" s="38" t="s">
        <v>130</v>
      </c>
      <c r="C173" s="38">
        <v>10</v>
      </c>
      <c r="D173" s="38">
        <v>2</v>
      </c>
      <c r="E173" s="38">
        <v>33</v>
      </c>
      <c r="F173" s="38">
        <v>11</v>
      </c>
      <c r="L173" s="36" t="str">
        <f t="shared" si="20"/>
        <v>P3S1A19</v>
      </c>
      <c r="M173" s="49">
        <v>3</v>
      </c>
      <c r="N173" s="49">
        <v>1</v>
      </c>
      <c r="O173" s="49">
        <v>1</v>
      </c>
      <c r="P173" s="50" t="s">
        <v>51</v>
      </c>
      <c r="Q173" s="51">
        <v>1932</v>
      </c>
      <c r="AZ173" s="53" t="str">
        <f t="shared" si="21"/>
        <v>P01S2A85</v>
      </c>
      <c r="BA173" s="53">
        <v>1</v>
      </c>
      <c r="BB173" s="53">
        <v>2</v>
      </c>
      <c r="BC173" s="53">
        <v>85</v>
      </c>
      <c r="BD173" s="53">
        <v>307</v>
      </c>
      <c r="BF173" s="53" t="str">
        <f t="shared" si="18"/>
        <v>P01S2A85</v>
      </c>
      <c r="BG173" s="53">
        <v>1</v>
      </c>
      <c r="BH173" s="53">
        <v>2</v>
      </c>
      <c r="BI173" s="173">
        <v>85</v>
      </c>
      <c r="BJ173" s="173">
        <v>2415</v>
      </c>
    </row>
    <row r="174" spans="1:62">
      <c r="A174" s="38" t="str">
        <f t="shared" si="19"/>
        <v>P10S2A34</v>
      </c>
      <c r="B174" s="38" t="s">
        <v>130</v>
      </c>
      <c r="C174" s="38">
        <v>10</v>
      </c>
      <c r="D174" s="38">
        <v>2</v>
      </c>
      <c r="E174" s="38">
        <v>34</v>
      </c>
      <c r="F174" s="38">
        <v>11</v>
      </c>
      <c r="L174" s="36" t="str">
        <f t="shared" si="20"/>
        <v>P3S1A20</v>
      </c>
      <c r="M174" s="49">
        <v>3</v>
      </c>
      <c r="N174" s="49">
        <v>1</v>
      </c>
      <c r="O174" s="49">
        <v>1</v>
      </c>
      <c r="P174" s="50" t="s">
        <v>52</v>
      </c>
      <c r="Q174" s="51">
        <v>2309</v>
      </c>
    </row>
    <row r="175" spans="1:62">
      <c r="A175" s="38" t="str">
        <f t="shared" si="19"/>
        <v>P10S2A35</v>
      </c>
      <c r="B175" s="38" t="s">
        <v>130</v>
      </c>
      <c r="C175" s="38">
        <v>10</v>
      </c>
      <c r="D175" s="38">
        <v>2</v>
      </c>
      <c r="E175" s="38">
        <v>35</v>
      </c>
      <c r="F175" s="38">
        <v>12</v>
      </c>
      <c r="L175" s="36" t="str">
        <f t="shared" si="20"/>
        <v>P3S1A21</v>
      </c>
      <c r="M175" s="49">
        <v>3</v>
      </c>
      <c r="N175" s="49">
        <v>1</v>
      </c>
      <c r="O175" s="49">
        <v>1</v>
      </c>
      <c r="P175" s="50" t="s">
        <v>53</v>
      </c>
      <c r="Q175" s="51">
        <v>2309</v>
      </c>
    </row>
    <row r="176" spans="1:62">
      <c r="A176" s="38" t="str">
        <f t="shared" si="19"/>
        <v>P10S2A36</v>
      </c>
      <c r="B176" s="38" t="s">
        <v>130</v>
      </c>
      <c r="C176" s="38">
        <v>10</v>
      </c>
      <c r="D176" s="38">
        <v>2</v>
      </c>
      <c r="E176" s="38">
        <v>36</v>
      </c>
      <c r="F176" s="38">
        <v>14</v>
      </c>
      <c r="L176" s="36" t="str">
        <f t="shared" si="20"/>
        <v>P3S1A22</v>
      </c>
      <c r="M176" s="49">
        <v>3</v>
      </c>
      <c r="N176" s="49">
        <v>1</v>
      </c>
      <c r="O176" s="49">
        <v>1</v>
      </c>
      <c r="P176" s="50" t="s">
        <v>54</v>
      </c>
      <c r="Q176" s="51">
        <v>2309</v>
      </c>
    </row>
    <row r="177" spans="1:17">
      <c r="A177" s="38" t="str">
        <f t="shared" si="19"/>
        <v>P10S2A37</v>
      </c>
      <c r="B177" s="38" t="s">
        <v>130</v>
      </c>
      <c r="C177" s="38">
        <v>10</v>
      </c>
      <c r="D177" s="38">
        <v>2</v>
      </c>
      <c r="E177" s="38">
        <v>37</v>
      </c>
      <c r="F177" s="38">
        <v>15</v>
      </c>
      <c r="L177" s="36" t="str">
        <f t="shared" si="20"/>
        <v>P3S1A23</v>
      </c>
      <c r="M177" s="49">
        <v>3</v>
      </c>
      <c r="N177" s="49">
        <v>1</v>
      </c>
      <c r="O177" s="49">
        <v>1</v>
      </c>
      <c r="P177" s="50" t="s">
        <v>55</v>
      </c>
      <c r="Q177" s="51">
        <v>2309</v>
      </c>
    </row>
    <row r="178" spans="1:17">
      <c r="A178" s="38" t="str">
        <f t="shared" si="19"/>
        <v>P10S2A38</v>
      </c>
      <c r="B178" s="38" t="s">
        <v>130</v>
      </c>
      <c r="C178" s="38">
        <v>10</v>
      </c>
      <c r="D178" s="38">
        <v>2</v>
      </c>
      <c r="E178" s="38">
        <v>38</v>
      </c>
      <c r="F178" s="38">
        <v>17</v>
      </c>
      <c r="L178" s="36" t="str">
        <f t="shared" si="20"/>
        <v>P3S1A24</v>
      </c>
      <c r="M178" s="49">
        <v>3</v>
      </c>
      <c r="N178" s="49">
        <v>1</v>
      </c>
      <c r="O178" s="49">
        <v>1</v>
      </c>
      <c r="P178" s="50" t="s">
        <v>56</v>
      </c>
      <c r="Q178" s="51">
        <v>2309</v>
      </c>
    </row>
    <row r="179" spans="1:17">
      <c r="A179" s="38" t="str">
        <f t="shared" si="19"/>
        <v>P10S2A39</v>
      </c>
      <c r="B179" s="38" t="s">
        <v>130</v>
      </c>
      <c r="C179" s="38">
        <v>10</v>
      </c>
      <c r="D179" s="38">
        <v>2</v>
      </c>
      <c r="E179" s="38">
        <v>39</v>
      </c>
      <c r="F179" s="38">
        <v>18</v>
      </c>
      <c r="L179" s="36" t="str">
        <f t="shared" si="20"/>
        <v>P3S1A25</v>
      </c>
      <c r="M179" s="49">
        <v>3</v>
      </c>
      <c r="N179" s="49">
        <v>1</v>
      </c>
      <c r="O179" s="49">
        <v>1</v>
      </c>
      <c r="P179" s="50" t="s">
        <v>57</v>
      </c>
      <c r="Q179" s="51">
        <v>2428</v>
      </c>
    </row>
    <row r="180" spans="1:17">
      <c r="A180" s="38" t="str">
        <f t="shared" si="19"/>
        <v>P10S2A40</v>
      </c>
      <c r="B180" s="38" t="s">
        <v>130</v>
      </c>
      <c r="C180" s="38">
        <v>10</v>
      </c>
      <c r="D180" s="38">
        <v>2</v>
      </c>
      <c r="E180" s="38">
        <v>40</v>
      </c>
      <c r="F180" s="38">
        <v>20</v>
      </c>
      <c r="L180" s="36" t="str">
        <f t="shared" si="20"/>
        <v>P3S1A26</v>
      </c>
      <c r="M180" s="49">
        <v>3</v>
      </c>
      <c r="N180" s="49">
        <v>1</v>
      </c>
      <c r="O180" s="49">
        <v>1</v>
      </c>
      <c r="P180" s="50" t="s">
        <v>58</v>
      </c>
      <c r="Q180" s="51">
        <v>2428</v>
      </c>
    </row>
    <row r="181" spans="1:17">
      <c r="A181" s="38" t="str">
        <f t="shared" si="19"/>
        <v>P10S2A41</v>
      </c>
      <c r="B181" s="38" t="s">
        <v>130</v>
      </c>
      <c r="C181" s="38">
        <v>10</v>
      </c>
      <c r="D181" s="38">
        <v>2</v>
      </c>
      <c r="E181" s="38">
        <v>41</v>
      </c>
      <c r="F181" s="38">
        <v>22</v>
      </c>
      <c r="L181" s="36" t="str">
        <f t="shared" si="20"/>
        <v>P3S1A27</v>
      </c>
      <c r="M181" s="49">
        <v>3</v>
      </c>
      <c r="N181" s="49">
        <v>1</v>
      </c>
      <c r="O181" s="49">
        <v>1</v>
      </c>
      <c r="P181" s="50" t="s">
        <v>59</v>
      </c>
      <c r="Q181" s="51">
        <v>2428</v>
      </c>
    </row>
    <row r="182" spans="1:17">
      <c r="A182" s="38" t="str">
        <f t="shared" si="19"/>
        <v>P10S2A42</v>
      </c>
      <c r="B182" s="38" t="s">
        <v>130</v>
      </c>
      <c r="C182" s="38">
        <v>10</v>
      </c>
      <c r="D182" s="38">
        <v>2</v>
      </c>
      <c r="E182" s="38">
        <v>42</v>
      </c>
      <c r="F182" s="38">
        <v>23</v>
      </c>
      <c r="L182" s="36" t="str">
        <f t="shared" si="20"/>
        <v>P3S1A28</v>
      </c>
      <c r="M182" s="49">
        <v>3</v>
      </c>
      <c r="N182" s="49">
        <v>1</v>
      </c>
      <c r="O182" s="49">
        <v>1</v>
      </c>
      <c r="P182" s="50" t="s">
        <v>60</v>
      </c>
      <c r="Q182" s="51">
        <v>2428</v>
      </c>
    </row>
    <row r="183" spans="1:17">
      <c r="A183" s="38" t="str">
        <f t="shared" si="19"/>
        <v>P10S2A43</v>
      </c>
      <c r="B183" s="38" t="s">
        <v>130</v>
      </c>
      <c r="C183" s="38">
        <v>10</v>
      </c>
      <c r="D183" s="38">
        <v>2</v>
      </c>
      <c r="E183" s="38">
        <v>43</v>
      </c>
      <c r="F183" s="38">
        <v>26</v>
      </c>
      <c r="L183" s="36" t="str">
        <f t="shared" si="20"/>
        <v>P3S1A29</v>
      </c>
      <c r="M183" s="49">
        <v>3</v>
      </c>
      <c r="N183" s="49">
        <v>1</v>
      </c>
      <c r="O183" s="49">
        <v>1</v>
      </c>
      <c r="P183" s="50" t="s">
        <v>61</v>
      </c>
      <c r="Q183" s="51">
        <v>2428</v>
      </c>
    </row>
    <row r="184" spans="1:17">
      <c r="A184" s="38" t="str">
        <f t="shared" si="19"/>
        <v>P10S2A44</v>
      </c>
      <c r="B184" s="38" t="s">
        <v>130</v>
      </c>
      <c r="C184" s="38">
        <v>10</v>
      </c>
      <c r="D184" s="38">
        <v>2</v>
      </c>
      <c r="E184" s="38">
        <v>44</v>
      </c>
      <c r="F184" s="38">
        <v>27</v>
      </c>
      <c r="L184" s="36" t="str">
        <f t="shared" si="20"/>
        <v>P3S1A30</v>
      </c>
      <c r="M184" s="49">
        <v>3</v>
      </c>
      <c r="N184" s="49">
        <v>1</v>
      </c>
      <c r="O184" s="49">
        <v>1</v>
      </c>
      <c r="P184" s="50" t="s">
        <v>62</v>
      </c>
      <c r="Q184" s="51">
        <v>3109</v>
      </c>
    </row>
    <row r="185" spans="1:17">
      <c r="A185" s="38" t="str">
        <f t="shared" si="19"/>
        <v>P10S2A45</v>
      </c>
      <c r="B185" s="38" t="s">
        <v>130</v>
      </c>
      <c r="C185" s="38">
        <v>10</v>
      </c>
      <c r="D185" s="38">
        <v>2</v>
      </c>
      <c r="E185" s="38">
        <v>45</v>
      </c>
      <c r="F185" s="38">
        <v>28</v>
      </c>
      <c r="L185" s="36" t="str">
        <f t="shared" si="20"/>
        <v>P3S1A31</v>
      </c>
      <c r="M185" s="49">
        <v>3</v>
      </c>
      <c r="N185" s="49">
        <v>1</v>
      </c>
      <c r="O185" s="49">
        <v>1</v>
      </c>
      <c r="P185" s="50" t="s">
        <v>63</v>
      </c>
      <c r="Q185" s="51">
        <v>3109</v>
      </c>
    </row>
    <row r="186" spans="1:17">
      <c r="A186" s="38" t="str">
        <f t="shared" si="19"/>
        <v>P10S2A46</v>
      </c>
      <c r="B186" s="38" t="s">
        <v>130</v>
      </c>
      <c r="C186" s="38">
        <v>10</v>
      </c>
      <c r="D186" s="38">
        <v>2</v>
      </c>
      <c r="E186" s="38">
        <v>46</v>
      </c>
      <c r="F186" s="38">
        <v>29</v>
      </c>
      <c r="L186" s="36" t="str">
        <f t="shared" si="20"/>
        <v>P3S1A32</v>
      </c>
      <c r="M186" s="49">
        <v>3</v>
      </c>
      <c r="N186" s="49">
        <v>1</v>
      </c>
      <c r="O186" s="49">
        <v>1</v>
      </c>
      <c r="P186" s="50" t="s">
        <v>64</v>
      </c>
      <c r="Q186" s="51">
        <v>3109</v>
      </c>
    </row>
    <row r="187" spans="1:17">
      <c r="A187" s="38" t="str">
        <f t="shared" si="19"/>
        <v>P10S2A47</v>
      </c>
      <c r="B187" s="38" t="s">
        <v>130</v>
      </c>
      <c r="C187" s="38">
        <v>10</v>
      </c>
      <c r="D187" s="38">
        <v>2</v>
      </c>
      <c r="E187" s="38">
        <v>47</v>
      </c>
      <c r="F187" s="38">
        <v>31</v>
      </c>
      <c r="L187" s="36" t="str">
        <f t="shared" si="20"/>
        <v>P3S1A33</v>
      </c>
      <c r="M187" s="49">
        <v>3</v>
      </c>
      <c r="N187" s="49">
        <v>1</v>
      </c>
      <c r="O187" s="49">
        <v>1</v>
      </c>
      <c r="P187" s="50" t="s">
        <v>65</v>
      </c>
      <c r="Q187" s="51">
        <v>3109</v>
      </c>
    </row>
    <row r="188" spans="1:17">
      <c r="A188" s="38" t="str">
        <f t="shared" si="19"/>
        <v>P10S2A48</v>
      </c>
      <c r="B188" s="38" t="s">
        <v>130</v>
      </c>
      <c r="C188" s="38">
        <v>10</v>
      </c>
      <c r="D188" s="38">
        <v>2</v>
      </c>
      <c r="E188" s="38">
        <v>48</v>
      </c>
      <c r="F188" s="38">
        <v>32</v>
      </c>
      <c r="L188" s="36" t="str">
        <f t="shared" si="20"/>
        <v>P3S1A34</v>
      </c>
      <c r="M188" s="49">
        <v>3</v>
      </c>
      <c r="N188" s="49">
        <v>1</v>
      </c>
      <c r="O188" s="49">
        <v>1</v>
      </c>
      <c r="P188" s="50" t="s">
        <v>66</v>
      </c>
      <c r="Q188" s="51">
        <v>3109</v>
      </c>
    </row>
    <row r="189" spans="1:17">
      <c r="A189" s="38" t="str">
        <f t="shared" si="19"/>
        <v>P10S2A49</v>
      </c>
      <c r="B189" s="38" t="s">
        <v>130</v>
      </c>
      <c r="C189" s="38">
        <v>10</v>
      </c>
      <c r="D189" s="38">
        <v>2</v>
      </c>
      <c r="E189" s="38">
        <v>49</v>
      </c>
      <c r="F189" s="38">
        <v>34</v>
      </c>
      <c r="L189" s="36" t="str">
        <f t="shared" si="20"/>
        <v>P3S1A35</v>
      </c>
      <c r="M189" s="49">
        <v>3</v>
      </c>
      <c r="N189" s="49">
        <v>1</v>
      </c>
      <c r="O189" s="49">
        <v>1</v>
      </c>
      <c r="P189" s="50" t="s">
        <v>67</v>
      </c>
      <c r="Q189" s="51">
        <v>4295</v>
      </c>
    </row>
    <row r="190" spans="1:17">
      <c r="A190" s="38" t="str">
        <f t="shared" si="19"/>
        <v>P10S2A50</v>
      </c>
      <c r="B190" s="38" t="s">
        <v>130</v>
      </c>
      <c r="C190" s="38">
        <v>10</v>
      </c>
      <c r="D190" s="38">
        <v>2</v>
      </c>
      <c r="E190" s="38">
        <v>50</v>
      </c>
      <c r="F190" s="38">
        <v>37</v>
      </c>
      <c r="L190" s="36" t="str">
        <f t="shared" si="20"/>
        <v>P3S1A36</v>
      </c>
      <c r="M190" s="49">
        <v>3</v>
      </c>
      <c r="N190" s="49">
        <v>1</v>
      </c>
      <c r="O190" s="49">
        <v>1</v>
      </c>
      <c r="P190" s="50" t="s">
        <v>68</v>
      </c>
      <c r="Q190" s="51">
        <v>4295</v>
      </c>
    </row>
    <row r="191" spans="1:17">
      <c r="A191" s="38" t="str">
        <f t="shared" si="19"/>
        <v>P10S2A51</v>
      </c>
      <c r="B191" s="38" t="s">
        <v>130</v>
      </c>
      <c r="C191" s="38">
        <v>10</v>
      </c>
      <c r="D191" s="38">
        <v>2</v>
      </c>
      <c r="E191" s="38">
        <v>51</v>
      </c>
      <c r="F191" s="38">
        <v>40</v>
      </c>
      <c r="L191" s="36" t="str">
        <f t="shared" si="20"/>
        <v>P3S1A37</v>
      </c>
      <c r="M191" s="49">
        <v>3</v>
      </c>
      <c r="N191" s="49">
        <v>1</v>
      </c>
      <c r="O191" s="49">
        <v>1</v>
      </c>
      <c r="P191" s="50" t="s">
        <v>69</v>
      </c>
      <c r="Q191" s="51">
        <v>4295</v>
      </c>
    </row>
    <row r="192" spans="1:17">
      <c r="A192" s="38" t="str">
        <f t="shared" si="19"/>
        <v>P10S2A52</v>
      </c>
      <c r="B192" s="38" t="s">
        <v>130</v>
      </c>
      <c r="C192" s="38">
        <v>10</v>
      </c>
      <c r="D192" s="38">
        <v>2</v>
      </c>
      <c r="E192" s="38">
        <v>52</v>
      </c>
      <c r="F192" s="38">
        <v>42</v>
      </c>
      <c r="L192" s="36" t="str">
        <f t="shared" si="20"/>
        <v>P3S1A38</v>
      </c>
      <c r="M192" s="49">
        <v>3</v>
      </c>
      <c r="N192" s="49">
        <v>1</v>
      </c>
      <c r="O192" s="49">
        <v>1</v>
      </c>
      <c r="P192" s="50" t="s">
        <v>70</v>
      </c>
      <c r="Q192" s="51">
        <v>4295</v>
      </c>
    </row>
    <row r="193" spans="1:17">
      <c r="A193" s="38" t="str">
        <f t="shared" si="19"/>
        <v>P10S2A53</v>
      </c>
      <c r="B193" s="38" t="s">
        <v>130</v>
      </c>
      <c r="C193" s="38">
        <v>10</v>
      </c>
      <c r="D193" s="38">
        <v>2</v>
      </c>
      <c r="E193" s="38">
        <v>53</v>
      </c>
      <c r="F193" s="38">
        <v>45</v>
      </c>
      <c r="L193" s="36" t="str">
        <f t="shared" si="20"/>
        <v>P3S1A39</v>
      </c>
      <c r="M193" s="49">
        <v>3</v>
      </c>
      <c r="N193" s="49">
        <v>1</v>
      </c>
      <c r="O193" s="49">
        <v>1</v>
      </c>
      <c r="P193" s="50" t="s">
        <v>71</v>
      </c>
      <c r="Q193" s="51">
        <v>4295</v>
      </c>
    </row>
    <row r="194" spans="1:17">
      <c r="A194" s="38" t="str">
        <f t="shared" ref="A194:A257" si="22">"P"&amp;REPT("0",2-LEN(C194))&amp;C194&amp;"S"&amp;D194&amp;"A"&amp;REPT("0",2-LEN(E194))&amp;E194</f>
        <v>P10S2A54</v>
      </c>
      <c r="B194" s="38" t="s">
        <v>130</v>
      </c>
      <c r="C194" s="38">
        <v>10</v>
      </c>
      <c r="D194" s="38">
        <v>2</v>
      </c>
      <c r="E194" s="38">
        <v>54</v>
      </c>
      <c r="F194" s="38">
        <v>48</v>
      </c>
      <c r="L194" s="36" t="str">
        <f t="shared" ref="L194:L257" si="23">"P"&amp;M194&amp;"S"&amp;O194&amp;"A"&amp;REPT("0",2-LEN(P194))&amp;P194</f>
        <v>P3S1A40</v>
      </c>
      <c r="M194" s="49">
        <v>3</v>
      </c>
      <c r="N194" s="49">
        <v>1</v>
      </c>
      <c r="O194" s="49">
        <v>1</v>
      </c>
      <c r="P194" s="50" t="s">
        <v>72</v>
      </c>
      <c r="Q194" s="51">
        <v>5460</v>
      </c>
    </row>
    <row r="195" spans="1:17">
      <c r="A195" s="38" t="str">
        <f t="shared" si="22"/>
        <v>P10S2A55</v>
      </c>
      <c r="B195" s="38" t="s">
        <v>130</v>
      </c>
      <c r="C195" s="38">
        <v>10</v>
      </c>
      <c r="D195" s="38">
        <v>2</v>
      </c>
      <c r="E195" s="38">
        <v>55</v>
      </c>
      <c r="F195" s="38">
        <v>52</v>
      </c>
      <c r="L195" s="36" t="str">
        <f t="shared" si="23"/>
        <v>P3S1A41</v>
      </c>
      <c r="M195" s="49">
        <v>3</v>
      </c>
      <c r="N195" s="49">
        <v>1</v>
      </c>
      <c r="O195" s="49">
        <v>1</v>
      </c>
      <c r="P195" s="50" t="s">
        <v>73</v>
      </c>
      <c r="Q195" s="51">
        <v>5460</v>
      </c>
    </row>
    <row r="196" spans="1:17">
      <c r="A196" s="38" t="str">
        <f t="shared" si="22"/>
        <v>P10S2A56</v>
      </c>
      <c r="B196" s="38" t="s">
        <v>130</v>
      </c>
      <c r="C196" s="38">
        <v>10</v>
      </c>
      <c r="D196" s="38">
        <v>2</v>
      </c>
      <c r="E196" s="38">
        <v>56</v>
      </c>
      <c r="F196" s="38">
        <v>57</v>
      </c>
      <c r="L196" s="36" t="str">
        <f t="shared" si="23"/>
        <v>P3S1A42</v>
      </c>
      <c r="M196" s="49">
        <v>3</v>
      </c>
      <c r="N196" s="49">
        <v>1</v>
      </c>
      <c r="O196" s="49">
        <v>1</v>
      </c>
      <c r="P196" s="50" t="s">
        <v>74</v>
      </c>
      <c r="Q196" s="51">
        <v>5460</v>
      </c>
    </row>
    <row r="197" spans="1:17">
      <c r="A197" s="38" t="str">
        <f t="shared" si="22"/>
        <v>P10S2A57</v>
      </c>
      <c r="B197" s="38" t="s">
        <v>130</v>
      </c>
      <c r="C197" s="38">
        <v>10</v>
      </c>
      <c r="D197" s="38">
        <v>2</v>
      </c>
      <c r="E197" s="38">
        <v>57</v>
      </c>
      <c r="F197" s="38">
        <v>62</v>
      </c>
      <c r="L197" s="36" t="str">
        <f t="shared" si="23"/>
        <v>P3S1A43</v>
      </c>
      <c r="M197" s="49">
        <v>3</v>
      </c>
      <c r="N197" s="49">
        <v>1</v>
      </c>
      <c r="O197" s="49">
        <v>1</v>
      </c>
      <c r="P197" s="50" t="s">
        <v>75</v>
      </c>
      <c r="Q197" s="51">
        <v>5460</v>
      </c>
    </row>
    <row r="198" spans="1:17">
      <c r="A198" s="38" t="str">
        <f t="shared" si="22"/>
        <v>P10S2A58</v>
      </c>
      <c r="B198" s="38" t="s">
        <v>130</v>
      </c>
      <c r="C198" s="38">
        <v>10</v>
      </c>
      <c r="D198" s="38">
        <v>2</v>
      </c>
      <c r="E198" s="38">
        <v>58</v>
      </c>
      <c r="F198" s="38">
        <v>67</v>
      </c>
      <c r="L198" s="36" t="str">
        <f t="shared" si="23"/>
        <v>P3S1A44</v>
      </c>
      <c r="M198" s="49">
        <v>3</v>
      </c>
      <c r="N198" s="49">
        <v>1</v>
      </c>
      <c r="O198" s="49">
        <v>1</v>
      </c>
      <c r="P198" s="50" t="s">
        <v>76</v>
      </c>
      <c r="Q198" s="51">
        <v>5460</v>
      </c>
    </row>
    <row r="199" spans="1:17">
      <c r="A199" s="38" t="str">
        <f t="shared" si="22"/>
        <v>P10S2A59</v>
      </c>
      <c r="B199" s="38" t="s">
        <v>130</v>
      </c>
      <c r="C199" s="38">
        <v>10</v>
      </c>
      <c r="D199" s="38">
        <v>2</v>
      </c>
      <c r="E199" s="38">
        <v>59</v>
      </c>
      <c r="F199" s="38">
        <v>73</v>
      </c>
      <c r="L199" s="36" t="str">
        <f t="shared" si="23"/>
        <v>P3S1A45</v>
      </c>
      <c r="M199" s="49">
        <v>3</v>
      </c>
      <c r="N199" s="49">
        <v>1</v>
      </c>
      <c r="O199" s="49">
        <v>1</v>
      </c>
      <c r="P199" s="50" t="s">
        <v>77</v>
      </c>
      <c r="Q199" s="51">
        <v>6651</v>
      </c>
    </row>
    <row r="200" spans="1:17">
      <c r="A200" s="38" t="str">
        <f t="shared" si="22"/>
        <v>P10S2A60</v>
      </c>
      <c r="B200" s="38" t="s">
        <v>130</v>
      </c>
      <c r="C200" s="38">
        <v>10</v>
      </c>
      <c r="D200" s="38">
        <v>2</v>
      </c>
      <c r="E200" s="38">
        <v>60</v>
      </c>
      <c r="F200" s="38">
        <v>81</v>
      </c>
      <c r="L200" s="36" t="str">
        <f t="shared" si="23"/>
        <v>P3S1A46</v>
      </c>
      <c r="M200" s="49">
        <v>3</v>
      </c>
      <c r="N200" s="49">
        <v>1</v>
      </c>
      <c r="O200" s="49">
        <v>1</v>
      </c>
      <c r="P200" s="50" t="s">
        <v>78</v>
      </c>
      <c r="Q200" s="51">
        <v>6651</v>
      </c>
    </row>
    <row r="201" spans="1:17">
      <c r="A201" s="38" t="str">
        <f t="shared" si="22"/>
        <v>P10S2A61</v>
      </c>
      <c r="B201" s="38" t="s">
        <v>130</v>
      </c>
      <c r="C201" s="38">
        <v>10</v>
      </c>
      <c r="D201" s="38">
        <v>2</v>
      </c>
      <c r="E201" s="38">
        <v>61</v>
      </c>
      <c r="F201" s="38">
        <v>89</v>
      </c>
      <c r="L201" s="36" t="str">
        <f t="shared" si="23"/>
        <v>P3S1A47</v>
      </c>
      <c r="M201" s="49">
        <v>3</v>
      </c>
      <c r="N201" s="49">
        <v>1</v>
      </c>
      <c r="O201" s="49">
        <v>1</v>
      </c>
      <c r="P201" s="50" t="s">
        <v>79</v>
      </c>
      <c r="Q201" s="51">
        <v>6651</v>
      </c>
    </row>
    <row r="202" spans="1:17">
      <c r="A202" s="38" t="str">
        <f t="shared" si="22"/>
        <v>P10S2A62</v>
      </c>
      <c r="B202" s="38" t="s">
        <v>130</v>
      </c>
      <c r="C202" s="38">
        <v>10</v>
      </c>
      <c r="D202" s="38">
        <v>2</v>
      </c>
      <c r="E202" s="38">
        <v>62</v>
      </c>
      <c r="F202" s="38">
        <v>99</v>
      </c>
      <c r="L202" s="36" t="str">
        <f t="shared" si="23"/>
        <v>P3S1A48</v>
      </c>
      <c r="M202" s="49">
        <v>3</v>
      </c>
      <c r="N202" s="49">
        <v>1</v>
      </c>
      <c r="O202" s="49">
        <v>1</v>
      </c>
      <c r="P202" s="50" t="s">
        <v>80</v>
      </c>
      <c r="Q202" s="51">
        <v>6651</v>
      </c>
    </row>
    <row r="203" spans="1:17">
      <c r="A203" s="38" t="str">
        <f t="shared" si="22"/>
        <v>P10S2A63</v>
      </c>
      <c r="B203" s="38" t="s">
        <v>130</v>
      </c>
      <c r="C203" s="38">
        <v>10</v>
      </c>
      <c r="D203" s="38">
        <v>2</v>
      </c>
      <c r="E203" s="38">
        <v>63</v>
      </c>
      <c r="F203" s="38">
        <v>109</v>
      </c>
      <c r="L203" s="36" t="str">
        <f t="shared" si="23"/>
        <v>P3S1A49</v>
      </c>
      <c r="M203" s="49">
        <v>3</v>
      </c>
      <c r="N203" s="49">
        <v>1</v>
      </c>
      <c r="O203" s="49">
        <v>1</v>
      </c>
      <c r="P203" s="50" t="s">
        <v>81</v>
      </c>
      <c r="Q203" s="51">
        <v>6651</v>
      </c>
    </row>
    <row r="204" spans="1:17">
      <c r="A204" s="38" t="str">
        <f t="shared" si="22"/>
        <v>P10S2A64</v>
      </c>
      <c r="B204" s="38" t="s">
        <v>130</v>
      </c>
      <c r="C204" s="38">
        <v>10</v>
      </c>
      <c r="D204" s="38">
        <v>2</v>
      </c>
      <c r="E204" s="38">
        <v>64</v>
      </c>
      <c r="F204" s="38">
        <v>121</v>
      </c>
      <c r="L204" s="36" t="str">
        <f t="shared" si="23"/>
        <v>P3S1A50</v>
      </c>
      <c r="M204" s="49">
        <v>3</v>
      </c>
      <c r="N204" s="49">
        <v>1</v>
      </c>
      <c r="O204" s="49">
        <v>1</v>
      </c>
      <c r="P204" s="50" t="s">
        <v>82</v>
      </c>
      <c r="Q204" s="51">
        <v>8026</v>
      </c>
    </row>
    <row r="205" spans="1:17">
      <c r="A205" s="38" t="str">
        <f t="shared" si="22"/>
        <v>P10S2A65</v>
      </c>
      <c r="B205" s="38" t="s">
        <v>130</v>
      </c>
      <c r="C205" s="38">
        <v>10</v>
      </c>
      <c r="D205" s="38">
        <v>2</v>
      </c>
      <c r="E205" s="38">
        <v>65</v>
      </c>
      <c r="F205" s="38">
        <v>134</v>
      </c>
      <c r="L205" s="36" t="str">
        <f t="shared" si="23"/>
        <v>P3S1A51</v>
      </c>
      <c r="M205" s="49">
        <v>3</v>
      </c>
      <c r="N205" s="49">
        <v>1</v>
      </c>
      <c r="O205" s="49">
        <v>1</v>
      </c>
      <c r="P205" s="50" t="s">
        <v>83</v>
      </c>
      <c r="Q205" s="51">
        <v>8026</v>
      </c>
    </row>
    <row r="206" spans="1:17">
      <c r="A206" s="38" t="str">
        <f t="shared" si="22"/>
        <v>P15S1A15</v>
      </c>
      <c r="B206" s="38" t="s">
        <v>130</v>
      </c>
      <c r="C206" s="38">
        <v>15</v>
      </c>
      <c r="D206" s="38">
        <v>1</v>
      </c>
      <c r="E206" s="38">
        <v>15</v>
      </c>
      <c r="F206" s="38">
        <v>11</v>
      </c>
      <c r="L206" s="36" t="str">
        <f t="shared" si="23"/>
        <v>P3S1A52</v>
      </c>
      <c r="M206" s="49">
        <v>3</v>
      </c>
      <c r="N206" s="49">
        <v>1</v>
      </c>
      <c r="O206" s="49">
        <v>1</v>
      </c>
      <c r="P206" s="50" t="s">
        <v>84</v>
      </c>
      <c r="Q206" s="51">
        <v>8026</v>
      </c>
    </row>
    <row r="207" spans="1:17">
      <c r="A207" s="38" t="str">
        <f t="shared" si="22"/>
        <v>P15S1A16</v>
      </c>
      <c r="B207" s="38" t="s">
        <v>130</v>
      </c>
      <c r="C207" s="38">
        <v>15</v>
      </c>
      <c r="D207" s="38">
        <v>1</v>
      </c>
      <c r="E207" s="38">
        <v>16</v>
      </c>
      <c r="F207" s="38">
        <v>12</v>
      </c>
      <c r="L207" s="36" t="str">
        <f t="shared" si="23"/>
        <v>P3S1A53</v>
      </c>
      <c r="M207" s="49">
        <v>3</v>
      </c>
      <c r="N207" s="49">
        <v>1</v>
      </c>
      <c r="O207" s="49">
        <v>1</v>
      </c>
      <c r="P207" s="50" t="s">
        <v>85</v>
      </c>
      <c r="Q207" s="51">
        <v>8026</v>
      </c>
    </row>
    <row r="208" spans="1:17">
      <c r="A208" s="38" t="str">
        <f t="shared" si="22"/>
        <v>P15S1A17</v>
      </c>
      <c r="B208" s="38" t="s">
        <v>130</v>
      </c>
      <c r="C208" s="38">
        <v>15</v>
      </c>
      <c r="D208" s="38">
        <v>1</v>
      </c>
      <c r="E208" s="38">
        <v>17</v>
      </c>
      <c r="F208" s="38">
        <v>12</v>
      </c>
      <c r="L208" s="36" t="str">
        <f t="shared" si="23"/>
        <v>P3S1A54</v>
      </c>
      <c r="M208" s="49">
        <v>3</v>
      </c>
      <c r="N208" s="49">
        <v>1</v>
      </c>
      <c r="O208" s="49">
        <v>1</v>
      </c>
      <c r="P208" s="50" t="s">
        <v>86</v>
      </c>
      <c r="Q208" s="51">
        <v>8026</v>
      </c>
    </row>
    <row r="209" spans="1:17">
      <c r="A209" s="38" t="str">
        <f t="shared" si="22"/>
        <v>P15S1A18</v>
      </c>
      <c r="B209" s="38" t="s">
        <v>130</v>
      </c>
      <c r="C209" s="38">
        <v>15</v>
      </c>
      <c r="D209" s="38">
        <v>1</v>
      </c>
      <c r="E209" s="38">
        <v>18</v>
      </c>
      <c r="F209" s="38">
        <v>12</v>
      </c>
      <c r="L209" s="36" t="str">
        <f t="shared" si="23"/>
        <v>P3S1A55</v>
      </c>
      <c r="M209" s="49">
        <v>3</v>
      </c>
      <c r="N209" s="49">
        <v>1</v>
      </c>
      <c r="O209" s="49">
        <v>1</v>
      </c>
      <c r="P209" s="50" t="s">
        <v>87</v>
      </c>
      <c r="Q209" s="51">
        <v>9815</v>
      </c>
    </row>
    <row r="210" spans="1:17">
      <c r="A210" s="38" t="str">
        <f t="shared" si="22"/>
        <v>P15S1A19</v>
      </c>
      <c r="B210" s="38" t="s">
        <v>130</v>
      </c>
      <c r="C210" s="38">
        <v>15</v>
      </c>
      <c r="D210" s="38">
        <v>1</v>
      </c>
      <c r="E210" s="38">
        <v>19</v>
      </c>
      <c r="F210" s="38">
        <v>12</v>
      </c>
      <c r="L210" s="36" t="str">
        <f t="shared" si="23"/>
        <v>P3S1A56</v>
      </c>
      <c r="M210" s="49">
        <v>3</v>
      </c>
      <c r="N210" s="49">
        <v>1</v>
      </c>
      <c r="O210" s="49">
        <v>1</v>
      </c>
      <c r="P210" s="50" t="s">
        <v>88</v>
      </c>
      <c r="Q210" s="51">
        <v>9815</v>
      </c>
    </row>
    <row r="211" spans="1:17">
      <c r="A211" s="38" t="str">
        <f t="shared" si="22"/>
        <v>P15S1A20</v>
      </c>
      <c r="B211" s="38" t="s">
        <v>130</v>
      </c>
      <c r="C211" s="38">
        <v>15</v>
      </c>
      <c r="D211" s="38">
        <v>1</v>
      </c>
      <c r="E211" s="38">
        <v>20</v>
      </c>
      <c r="F211" s="38">
        <v>12</v>
      </c>
      <c r="L211" s="36" t="str">
        <f t="shared" si="23"/>
        <v>P3S1A57</v>
      </c>
      <c r="M211" s="49">
        <v>3</v>
      </c>
      <c r="N211" s="49">
        <v>1</v>
      </c>
      <c r="O211" s="49">
        <v>1</v>
      </c>
      <c r="P211" s="50" t="s">
        <v>89</v>
      </c>
      <c r="Q211" s="51">
        <v>9815</v>
      </c>
    </row>
    <row r="212" spans="1:17">
      <c r="A212" s="38" t="str">
        <f t="shared" si="22"/>
        <v>P15S1A21</v>
      </c>
      <c r="B212" s="38" t="s">
        <v>130</v>
      </c>
      <c r="C212" s="38">
        <v>15</v>
      </c>
      <c r="D212" s="38">
        <v>1</v>
      </c>
      <c r="E212" s="38">
        <v>21</v>
      </c>
      <c r="F212" s="38">
        <v>12</v>
      </c>
      <c r="L212" s="36" t="str">
        <f t="shared" si="23"/>
        <v>P3S1A58</v>
      </c>
      <c r="M212" s="49">
        <v>3</v>
      </c>
      <c r="N212" s="49">
        <v>1</v>
      </c>
      <c r="O212" s="49">
        <v>1</v>
      </c>
      <c r="P212" s="50" t="s">
        <v>90</v>
      </c>
      <c r="Q212" s="51">
        <v>9815</v>
      </c>
    </row>
    <row r="213" spans="1:17">
      <c r="A213" s="38" t="str">
        <f t="shared" si="22"/>
        <v>P15S1A22</v>
      </c>
      <c r="B213" s="38" t="s">
        <v>130</v>
      </c>
      <c r="C213" s="38">
        <v>15</v>
      </c>
      <c r="D213" s="38">
        <v>1</v>
      </c>
      <c r="E213" s="38">
        <v>22</v>
      </c>
      <c r="F213" s="38">
        <v>12</v>
      </c>
      <c r="L213" s="36" t="str">
        <f t="shared" si="23"/>
        <v>P3S1A59</v>
      </c>
      <c r="M213" s="49">
        <v>3</v>
      </c>
      <c r="N213" s="49">
        <v>1</v>
      </c>
      <c r="O213" s="49">
        <v>1</v>
      </c>
      <c r="P213" s="50" t="s">
        <v>91</v>
      </c>
      <c r="Q213" s="51">
        <v>9815</v>
      </c>
    </row>
    <row r="214" spans="1:17">
      <c r="A214" s="38" t="str">
        <f t="shared" si="22"/>
        <v>P15S1A23</v>
      </c>
      <c r="B214" s="38" t="s">
        <v>130</v>
      </c>
      <c r="C214" s="38">
        <v>15</v>
      </c>
      <c r="D214" s="38">
        <v>1</v>
      </c>
      <c r="E214" s="38">
        <v>23</v>
      </c>
      <c r="F214" s="38">
        <v>12</v>
      </c>
      <c r="L214" s="36" t="str">
        <f t="shared" si="23"/>
        <v>P3S1A60</v>
      </c>
      <c r="M214" s="49">
        <v>3</v>
      </c>
      <c r="N214" s="49">
        <v>1</v>
      </c>
      <c r="O214" s="49">
        <v>1</v>
      </c>
      <c r="P214" s="50" t="s">
        <v>92</v>
      </c>
      <c r="Q214" s="51">
        <v>11557</v>
      </c>
    </row>
    <row r="215" spans="1:17">
      <c r="A215" s="38" t="str">
        <f t="shared" si="22"/>
        <v>P15S1A24</v>
      </c>
      <c r="B215" s="38" t="s">
        <v>130</v>
      </c>
      <c r="C215" s="38">
        <v>15</v>
      </c>
      <c r="D215" s="38">
        <v>1</v>
      </c>
      <c r="E215" s="38">
        <v>24</v>
      </c>
      <c r="F215" s="38">
        <v>12</v>
      </c>
      <c r="L215" s="36" t="str">
        <f t="shared" si="23"/>
        <v>P3S1A61</v>
      </c>
      <c r="M215" s="49">
        <v>3</v>
      </c>
      <c r="N215" s="49">
        <v>1</v>
      </c>
      <c r="O215" s="49">
        <v>1</v>
      </c>
      <c r="P215" s="50" t="s">
        <v>93</v>
      </c>
      <c r="Q215" s="51">
        <v>11557</v>
      </c>
    </row>
    <row r="216" spans="1:17">
      <c r="A216" s="38" t="str">
        <f t="shared" si="22"/>
        <v>P15S1A25</v>
      </c>
      <c r="B216" s="38" t="s">
        <v>130</v>
      </c>
      <c r="C216" s="38">
        <v>15</v>
      </c>
      <c r="D216" s="38">
        <v>1</v>
      </c>
      <c r="E216" s="38">
        <v>25</v>
      </c>
      <c r="F216" s="38">
        <v>13</v>
      </c>
      <c r="L216" s="36" t="str">
        <f t="shared" si="23"/>
        <v>P3S1A62</v>
      </c>
      <c r="M216" s="49">
        <v>3</v>
      </c>
      <c r="N216" s="49">
        <v>1</v>
      </c>
      <c r="O216" s="49">
        <v>1</v>
      </c>
      <c r="P216" s="50" t="s">
        <v>94</v>
      </c>
      <c r="Q216" s="51">
        <v>11557</v>
      </c>
    </row>
    <row r="217" spans="1:17">
      <c r="A217" s="38" t="str">
        <f t="shared" si="22"/>
        <v>P15S1A26</v>
      </c>
      <c r="B217" s="38" t="s">
        <v>130</v>
      </c>
      <c r="C217" s="38">
        <v>15</v>
      </c>
      <c r="D217" s="38">
        <v>1</v>
      </c>
      <c r="E217" s="38">
        <v>26</v>
      </c>
      <c r="F217" s="38">
        <v>14</v>
      </c>
      <c r="L217" s="36" t="str">
        <f t="shared" si="23"/>
        <v>P3S1A63</v>
      </c>
      <c r="M217" s="49">
        <v>3</v>
      </c>
      <c r="N217" s="49">
        <v>1</v>
      </c>
      <c r="O217" s="49">
        <v>1</v>
      </c>
      <c r="P217" s="50" t="s">
        <v>95</v>
      </c>
      <c r="Q217" s="51">
        <v>11557</v>
      </c>
    </row>
    <row r="218" spans="1:17">
      <c r="A218" s="38" t="str">
        <f t="shared" si="22"/>
        <v>P15S1A27</v>
      </c>
      <c r="B218" s="38" t="s">
        <v>130</v>
      </c>
      <c r="C218" s="38">
        <v>15</v>
      </c>
      <c r="D218" s="38">
        <v>1</v>
      </c>
      <c r="E218" s="38">
        <v>27</v>
      </c>
      <c r="F218" s="38">
        <v>14</v>
      </c>
      <c r="L218" s="36" t="str">
        <f t="shared" si="23"/>
        <v>P3S1A64</v>
      </c>
      <c r="M218" s="49">
        <v>3</v>
      </c>
      <c r="N218" s="49">
        <v>1</v>
      </c>
      <c r="O218" s="49">
        <v>1</v>
      </c>
      <c r="P218" s="50" t="s">
        <v>96</v>
      </c>
      <c r="Q218" s="51">
        <v>11557</v>
      </c>
    </row>
    <row r="219" spans="1:17">
      <c r="A219" s="38" t="str">
        <f t="shared" si="22"/>
        <v>P15S1A28</v>
      </c>
      <c r="B219" s="38" t="s">
        <v>130</v>
      </c>
      <c r="C219" s="38">
        <v>15</v>
      </c>
      <c r="D219" s="38">
        <v>1</v>
      </c>
      <c r="E219" s="38">
        <v>28</v>
      </c>
      <c r="F219" s="38">
        <v>15</v>
      </c>
      <c r="L219" s="36" t="str">
        <f t="shared" si="23"/>
        <v>P3S1A65</v>
      </c>
      <c r="M219" s="49">
        <v>3</v>
      </c>
      <c r="N219" s="49">
        <v>1</v>
      </c>
      <c r="O219" s="49">
        <v>1</v>
      </c>
      <c r="P219" s="50" t="s">
        <v>97</v>
      </c>
      <c r="Q219" s="51">
        <v>15049</v>
      </c>
    </row>
    <row r="220" spans="1:17">
      <c r="A220" s="38" t="str">
        <f t="shared" si="22"/>
        <v>P15S1A29</v>
      </c>
      <c r="B220" s="38" t="s">
        <v>130</v>
      </c>
      <c r="C220" s="38">
        <v>15</v>
      </c>
      <c r="D220" s="38">
        <v>1</v>
      </c>
      <c r="E220" s="38">
        <v>29</v>
      </c>
      <c r="F220" s="38">
        <v>17</v>
      </c>
      <c r="L220" s="36" t="str">
        <f t="shared" si="23"/>
        <v>P3S1A66</v>
      </c>
      <c r="M220" s="49">
        <v>3</v>
      </c>
      <c r="N220" s="49">
        <v>1</v>
      </c>
      <c r="O220" s="49">
        <v>1</v>
      </c>
      <c r="P220" s="50" t="s">
        <v>98</v>
      </c>
      <c r="Q220" s="51">
        <v>15049</v>
      </c>
    </row>
    <row r="221" spans="1:17">
      <c r="A221" s="38" t="str">
        <f t="shared" si="22"/>
        <v>P15S1A30</v>
      </c>
      <c r="B221" s="38" t="s">
        <v>130</v>
      </c>
      <c r="C221" s="38">
        <v>15</v>
      </c>
      <c r="D221" s="38">
        <v>1</v>
      </c>
      <c r="E221" s="38">
        <v>30</v>
      </c>
      <c r="F221" s="38">
        <v>18</v>
      </c>
      <c r="L221" s="36" t="str">
        <f t="shared" si="23"/>
        <v>P3S1A67</v>
      </c>
      <c r="M221" s="49">
        <v>3</v>
      </c>
      <c r="N221" s="49">
        <v>1</v>
      </c>
      <c r="O221" s="49">
        <v>1</v>
      </c>
      <c r="P221" s="50" t="s">
        <v>99</v>
      </c>
      <c r="Q221" s="51">
        <v>15049</v>
      </c>
    </row>
    <row r="222" spans="1:17">
      <c r="A222" s="38" t="str">
        <f t="shared" si="22"/>
        <v>P15S1A31</v>
      </c>
      <c r="B222" s="38" t="s">
        <v>130</v>
      </c>
      <c r="C222" s="38">
        <v>15</v>
      </c>
      <c r="D222" s="38">
        <v>1</v>
      </c>
      <c r="E222" s="38">
        <v>31</v>
      </c>
      <c r="F222" s="38">
        <v>20</v>
      </c>
      <c r="L222" s="36" t="str">
        <f t="shared" si="23"/>
        <v>P3S1A68</v>
      </c>
      <c r="M222" s="49">
        <v>3</v>
      </c>
      <c r="N222" s="49">
        <v>1</v>
      </c>
      <c r="O222" s="49">
        <v>1</v>
      </c>
      <c r="P222" s="50" t="s">
        <v>100</v>
      </c>
      <c r="Q222" s="51">
        <v>15049</v>
      </c>
    </row>
    <row r="223" spans="1:17">
      <c r="A223" s="38" t="str">
        <f t="shared" si="22"/>
        <v>P15S1A32</v>
      </c>
      <c r="B223" s="38" t="s">
        <v>130</v>
      </c>
      <c r="C223" s="38">
        <v>15</v>
      </c>
      <c r="D223" s="38">
        <v>1</v>
      </c>
      <c r="E223" s="38">
        <v>32</v>
      </c>
      <c r="F223" s="38">
        <v>22</v>
      </c>
      <c r="L223" s="36" t="str">
        <f t="shared" si="23"/>
        <v>P3S1A69</v>
      </c>
      <c r="M223" s="49">
        <v>3</v>
      </c>
      <c r="N223" s="49">
        <v>1</v>
      </c>
      <c r="O223" s="49">
        <v>1</v>
      </c>
      <c r="P223" s="50" t="s">
        <v>101</v>
      </c>
      <c r="Q223" s="51">
        <v>15049</v>
      </c>
    </row>
    <row r="224" spans="1:17">
      <c r="A224" s="38" t="str">
        <f t="shared" si="22"/>
        <v>P15S1A33</v>
      </c>
      <c r="B224" s="38" t="s">
        <v>130</v>
      </c>
      <c r="C224" s="38">
        <v>15</v>
      </c>
      <c r="D224" s="38">
        <v>1</v>
      </c>
      <c r="E224" s="38">
        <v>33</v>
      </c>
      <c r="F224" s="38">
        <v>23</v>
      </c>
      <c r="L224" s="36" t="str">
        <f t="shared" si="23"/>
        <v>P3S1A70</v>
      </c>
      <c r="M224" s="49">
        <v>3</v>
      </c>
      <c r="N224" s="49">
        <v>1</v>
      </c>
      <c r="O224" s="49">
        <v>1</v>
      </c>
      <c r="P224" s="50" t="s">
        <v>102</v>
      </c>
      <c r="Q224" s="51">
        <v>18748</v>
      </c>
    </row>
    <row r="225" spans="1:17">
      <c r="A225" s="38" t="str">
        <f t="shared" si="22"/>
        <v>P15S1A34</v>
      </c>
      <c r="B225" s="38" t="s">
        <v>130</v>
      </c>
      <c r="C225" s="38">
        <v>15</v>
      </c>
      <c r="D225" s="38">
        <v>1</v>
      </c>
      <c r="E225" s="38">
        <v>34</v>
      </c>
      <c r="F225" s="38">
        <v>25</v>
      </c>
      <c r="L225" s="36" t="str">
        <f t="shared" si="23"/>
        <v>P3S1A71</v>
      </c>
      <c r="M225" s="49">
        <v>3</v>
      </c>
      <c r="N225" s="49">
        <v>1</v>
      </c>
      <c r="O225" s="49">
        <v>1</v>
      </c>
      <c r="P225" s="50" t="s">
        <v>103</v>
      </c>
      <c r="Q225" s="51">
        <v>18748</v>
      </c>
    </row>
    <row r="226" spans="1:17">
      <c r="A226" s="38" t="str">
        <f t="shared" si="22"/>
        <v>P15S1A35</v>
      </c>
      <c r="B226" s="38" t="s">
        <v>130</v>
      </c>
      <c r="C226" s="38">
        <v>15</v>
      </c>
      <c r="D226" s="38">
        <v>1</v>
      </c>
      <c r="E226" s="38">
        <v>35</v>
      </c>
      <c r="F226" s="38">
        <v>27</v>
      </c>
      <c r="L226" s="36" t="str">
        <f t="shared" si="23"/>
        <v>P3S1A72</v>
      </c>
      <c r="M226" s="49">
        <v>3</v>
      </c>
      <c r="N226" s="49">
        <v>1</v>
      </c>
      <c r="O226" s="49">
        <v>1</v>
      </c>
      <c r="P226" s="50" t="s">
        <v>104</v>
      </c>
      <c r="Q226" s="51">
        <v>18748</v>
      </c>
    </row>
    <row r="227" spans="1:17">
      <c r="A227" s="38" t="str">
        <f t="shared" si="22"/>
        <v>P15S1A36</v>
      </c>
      <c r="B227" s="38" t="s">
        <v>130</v>
      </c>
      <c r="C227" s="38">
        <v>15</v>
      </c>
      <c r="D227" s="38">
        <v>1</v>
      </c>
      <c r="E227" s="38">
        <v>36</v>
      </c>
      <c r="F227" s="38">
        <v>28</v>
      </c>
      <c r="L227" s="36" t="str">
        <f t="shared" si="23"/>
        <v>P3S1A73</v>
      </c>
      <c r="M227" s="49">
        <v>3</v>
      </c>
      <c r="N227" s="49">
        <v>1</v>
      </c>
      <c r="O227" s="49">
        <v>1</v>
      </c>
      <c r="P227" s="50" t="s">
        <v>105</v>
      </c>
      <c r="Q227" s="51">
        <v>18748</v>
      </c>
    </row>
    <row r="228" spans="1:17">
      <c r="A228" s="38" t="str">
        <f t="shared" si="22"/>
        <v>P15S1A37</v>
      </c>
      <c r="B228" s="38" t="s">
        <v>130</v>
      </c>
      <c r="C228" s="38">
        <v>15</v>
      </c>
      <c r="D228" s="38">
        <v>1</v>
      </c>
      <c r="E228" s="38">
        <v>37</v>
      </c>
      <c r="F228" s="38">
        <v>30</v>
      </c>
      <c r="L228" s="36" t="str">
        <f t="shared" si="23"/>
        <v>P3S1A74</v>
      </c>
      <c r="M228" s="49">
        <v>3</v>
      </c>
      <c r="N228" s="49">
        <v>1</v>
      </c>
      <c r="O228" s="49">
        <v>1</v>
      </c>
      <c r="P228" s="50" t="s">
        <v>106</v>
      </c>
      <c r="Q228" s="51">
        <v>18748</v>
      </c>
    </row>
    <row r="229" spans="1:17">
      <c r="A229" s="38" t="str">
        <f t="shared" si="22"/>
        <v>P15S1A38</v>
      </c>
      <c r="B229" s="38" t="s">
        <v>130</v>
      </c>
      <c r="C229" s="38">
        <v>15</v>
      </c>
      <c r="D229" s="38">
        <v>1</v>
      </c>
      <c r="E229" s="38">
        <v>38</v>
      </c>
      <c r="F229" s="38">
        <v>33</v>
      </c>
      <c r="L229" s="36" t="str">
        <f t="shared" si="23"/>
        <v>P3S1A75</v>
      </c>
      <c r="M229" s="49">
        <v>3</v>
      </c>
      <c r="N229" s="49">
        <v>1</v>
      </c>
      <c r="O229" s="49">
        <v>1</v>
      </c>
      <c r="P229" s="50" t="s">
        <v>107</v>
      </c>
      <c r="Q229" s="51">
        <v>18748</v>
      </c>
    </row>
    <row r="230" spans="1:17">
      <c r="A230" s="38" t="str">
        <f t="shared" si="22"/>
        <v>P15S1A39</v>
      </c>
      <c r="B230" s="38" t="s">
        <v>130</v>
      </c>
      <c r="C230" s="38">
        <v>15</v>
      </c>
      <c r="D230" s="38">
        <v>1</v>
      </c>
      <c r="E230" s="38">
        <v>39</v>
      </c>
      <c r="F230" s="38">
        <v>35</v>
      </c>
      <c r="L230" s="36" t="str">
        <f t="shared" si="23"/>
        <v>P4S1A00</v>
      </c>
      <c r="M230" s="49">
        <v>4</v>
      </c>
      <c r="N230" s="49">
        <v>1</v>
      </c>
      <c r="O230" s="49">
        <v>1</v>
      </c>
      <c r="P230" s="50" t="s">
        <v>32</v>
      </c>
      <c r="Q230" s="51">
        <v>4745</v>
      </c>
    </row>
    <row r="231" spans="1:17">
      <c r="A231" s="38" t="str">
        <f t="shared" si="22"/>
        <v>P15S1A40</v>
      </c>
      <c r="B231" s="38" t="s">
        <v>130</v>
      </c>
      <c r="C231" s="38">
        <v>15</v>
      </c>
      <c r="D231" s="38">
        <v>1</v>
      </c>
      <c r="E231" s="38">
        <v>40</v>
      </c>
      <c r="F231" s="38">
        <v>39</v>
      </c>
      <c r="L231" s="36" t="str">
        <f t="shared" si="23"/>
        <v>P4S1A01</v>
      </c>
      <c r="M231" s="49">
        <v>4</v>
      </c>
      <c r="N231" s="49">
        <v>1</v>
      </c>
      <c r="O231" s="49">
        <v>1</v>
      </c>
      <c r="P231" s="50" t="s">
        <v>33</v>
      </c>
      <c r="Q231" s="51">
        <v>4745</v>
      </c>
    </row>
    <row r="232" spans="1:17">
      <c r="A232" s="38" t="str">
        <f t="shared" si="22"/>
        <v>P15S1A41</v>
      </c>
      <c r="B232" s="38" t="s">
        <v>130</v>
      </c>
      <c r="C232" s="38">
        <v>15</v>
      </c>
      <c r="D232" s="38">
        <v>1</v>
      </c>
      <c r="E232" s="38">
        <v>41</v>
      </c>
      <c r="F232" s="38">
        <v>41</v>
      </c>
      <c r="L232" s="36" t="str">
        <f t="shared" si="23"/>
        <v>P4S1A02</v>
      </c>
      <c r="M232" s="49">
        <v>4</v>
      </c>
      <c r="N232" s="49">
        <v>1</v>
      </c>
      <c r="O232" s="49">
        <v>1</v>
      </c>
      <c r="P232" s="50" t="s">
        <v>34</v>
      </c>
      <c r="Q232" s="51">
        <v>4745</v>
      </c>
    </row>
    <row r="233" spans="1:17">
      <c r="A233" s="38" t="str">
        <f t="shared" si="22"/>
        <v>P15S1A42</v>
      </c>
      <c r="B233" s="38" t="s">
        <v>130</v>
      </c>
      <c r="C233" s="38">
        <v>15</v>
      </c>
      <c r="D233" s="38">
        <v>1</v>
      </c>
      <c r="E233" s="38">
        <v>42</v>
      </c>
      <c r="F233" s="38">
        <v>45</v>
      </c>
      <c r="L233" s="36" t="str">
        <f t="shared" si="23"/>
        <v>P4S1A03</v>
      </c>
      <c r="M233" s="49">
        <v>4</v>
      </c>
      <c r="N233" s="49">
        <v>1</v>
      </c>
      <c r="O233" s="49">
        <v>1</v>
      </c>
      <c r="P233" s="50" t="s">
        <v>35</v>
      </c>
      <c r="Q233" s="51">
        <v>4745</v>
      </c>
    </row>
    <row r="234" spans="1:17">
      <c r="A234" s="38" t="str">
        <f t="shared" si="22"/>
        <v>P15S1A43</v>
      </c>
      <c r="B234" s="38" t="s">
        <v>130</v>
      </c>
      <c r="C234" s="38">
        <v>15</v>
      </c>
      <c r="D234" s="38">
        <v>1</v>
      </c>
      <c r="E234" s="38">
        <v>43</v>
      </c>
      <c r="F234" s="38">
        <v>48</v>
      </c>
      <c r="L234" s="36" t="str">
        <f t="shared" si="23"/>
        <v>P4S1A04</v>
      </c>
      <c r="M234" s="49">
        <v>4</v>
      </c>
      <c r="N234" s="49">
        <v>1</v>
      </c>
      <c r="O234" s="49">
        <v>1</v>
      </c>
      <c r="P234" s="50" t="s">
        <v>36</v>
      </c>
      <c r="Q234" s="51">
        <v>4745</v>
      </c>
    </row>
    <row r="235" spans="1:17">
      <c r="A235" s="38" t="str">
        <f t="shared" si="22"/>
        <v>P15S1A44</v>
      </c>
      <c r="B235" s="38" t="s">
        <v>130</v>
      </c>
      <c r="C235" s="38">
        <v>15</v>
      </c>
      <c r="D235" s="38">
        <v>1</v>
      </c>
      <c r="E235" s="38">
        <v>44</v>
      </c>
      <c r="F235" s="38">
        <v>52</v>
      </c>
      <c r="L235" s="36" t="str">
        <f t="shared" si="23"/>
        <v>P4S1A05</v>
      </c>
      <c r="M235" s="49">
        <v>4</v>
      </c>
      <c r="N235" s="49">
        <v>1</v>
      </c>
      <c r="O235" s="49">
        <v>1</v>
      </c>
      <c r="P235" s="50" t="s">
        <v>37</v>
      </c>
      <c r="Q235" s="51">
        <v>4745</v>
      </c>
    </row>
    <row r="236" spans="1:17">
      <c r="A236" s="38" t="str">
        <f t="shared" si="22"/>
        <v>P15S1A45</v>
      </c>
      <c r="B236" s="38" t="s">
        <v>130</v>
      </c>
      <c r="C236" s="38">
        <v>15</v>
      </c>
      <c r="D236" s="38">
        <v>1</v>
      </c>
      <c r="E236" s="38">
        <v>45</v>
      </c>
      <c r="F236" s="38">
        <v>56</v>
      </c>
      <c r="L236" s="36" t="str">
        <f t="shared" si="23"/>
        <v>P4S1A06</v>
      </c>
      <c r="M236" s="49">
        <v>4</v>
      </c>
      <c r="N236" s="49">
        <v>1</v>
      </c>
      <c r="O236" s="49">
        <v>1</v>
      </c>
      <c r="P236" s="50" t="s">
        <v>38</v>
      </c>
      <c r="Q236" s="51">
        <v>4745</v>
      </c>
    </row>
    <row r="237" spans="1:17">
      <c r="A237" s="38" t="str">
        <f t="shared" si="22"/>
        <v>P15S1A46</v>
      </c>
      <c r="B237" s="38" t="s">
        <v>130</v>
      </c>
      <c r="C237" s="38">
        <v>15</v>
      </c>
      <c r="D237" s="38">
        <v>1</v>
      </c>
      <c r="E237" s="38">
        <v>46</v>
      </c>
      <c r="F237" s="38">
        <v>60</v>
      </c>
      <c r="L237" s="36" t="str">
        <f t="shared" si="23"/>
        <v>P4S1A07</v>
      </c>
      <c r="M237" s="49">
        <v>4</v>
      </c>
      <c r="N237" s="49">
        <v>1</v>
      </c>
      <c r="O237" s="49">
        <v>1</v>
      </c>
      <c r="P237" s="50" t="s">
        <v>39</v>
      </c>
      <c r="Q237" s="51">
        <v>4745</v>
      </c>
    </row>
    <row r="238" spans="1:17">
      <c r="A238" s="38" t="str">
        <f t="shared" si="22"/>
        <v>P15S1A47</v>
      </c>
      <c r="B238" s="38" t="s">
        <v>130</v>
      </c>
      <c r="C238" s="38">
        <v>15</v>
      </c>
      <c r="D238" s="38">
        <v>1</v>
      </c>
      <c r="E238" s="38">
        <v>47</v>
      </c>
      <c r="F238" s="38">
        <v>65</v>
      </c>
      <c r="L238" s="36" t="str">
        <f t="shared" si="23"/>
        <v>P4S1A08</v>
      </c>
      <c r="M238" s="49">
        <v>4</v>
      </c>
      <c r="N238" s="49">
        <v>1</v>
      </c>
      <c r="O238" s="49">
        <v>1</v>
      </c>
      <c r="P238" s="50" t="s">
        <v>40</v>
      </c>
      <c r="Q238" s="51">
        <v>4745</v>
      </c>
    </row>
    <row r="239" spans="1:17">
      <c r="A239" s="38" t="str">
        <f t="shared" si="22"/>
        <v>P15S1A48</v>
      </c>
      <c r="B239" s="38" t="s">
        <v>130</v>
      </c>
      <c r="C239" s="38">
        <v>15</v>
      </c>
      <c r="D239" s="38">
        <v>1</v>
      </c>
      <c r="E239" s="38">
        <v>48</v>
      </c>
      <c r="F239" s="38">
        <v>70</v>
      </c>
      <c r="L239" s="36" t="str">
        <f t="shared" si="23"/>
        <v>P4S1A09</v>
      </c>
      <c r="M239" s="49">
        <v>4</v>
      </c>
      <c r="N239" s="49">
        <v>1</v>
      </c>
      <c r="O239" s="49">
        <v>1</v>
      </c>
      <c r="P239" s="50" t="s">
        <v>41</v>
      </c>
      <c r="Q239" s="51">
        <v>4745</v>
      </c>
    </row>
    <row r="240" spans="1:17">
      <c r="A240" s="38" t="str">
        <f t="shared" si="22"/>
        <v>P15S1A49</v>
      </c>
      <c r="B240" s="38" t="s">
        <v>130</v>
      </c>
      <c r="C240" s="38">
        <v>15</v>
      </c>
      <c r="D240" s="38">
        <v>1</v>
      </c>
      <c r="E240" s="38">
        <v>49</v>
      </c>
      <c r="F240" s="38">
        <v>75</v>
      </c>
      <c r="L240" s="36" t="str">
        <f t="shared" si="23"/>
        <v>P4S1A10</v>
      </c>
      <c r="M240" s="49">
        <v>4</v>
      </c>
      <c r="N240" s="49">
        <v>1</v>
      </c>
      <c r="O240" s="49">
        <v>1</v>
      </c>
      <c r="P240" s="50" t="s">
        <v>42</v>
      </c>
      <c r="Q240" s="51">
        <v>4745</v>
      </c>
    </row>
    <row r="241" spans="1:17">
      <c r="A241" s="38" t="str">
        <f t="shared" si="22"/>
        <v>P15S1A50</v>
      </c>
      <c r="B241" s="38" t="s">
        <v>130</v>
      </c>
      <c r="C241" s="38">
        <v>15</v>
      </c>
      <c r="D241" s="38">
        <v>1</v>
      </c>
      <c r="E241" s="38">
        <v>50</v>
      </c>
      <c r="F241" s="38">
        <v>82</v>
      </c>
      <c r="L241" s="36" t="str">
        <f t="shared" si="23"/>
        <v>P4S1A11</v>
      </c>
      <c r="M241" s="49">
        <v>4</v>
      </c>
      <c r="N241" s="49">
        <v>1</v>
      </c>
      <c r="O241" s="49">
        <v>1</v>
      </c>
      <c r="P241" s="50" t="s">
        <v>43</v>
      </c>
      <c r="Q241" s="51">
        <v>4745</v>
      </c>
    </row>
    <row r="242" spans="1:17">
      <c r="A242" s="38" t="str">
        <f t="shared" si="22"/>
        <v>P15S1A51</v>
      </c>
      <c r="B242" s="38" t="s">
        <v>130</v>
      </c>
      <c r="C242" s="38">
        <v>15</v>
      </c>
      <c r="D242" s="38">
        <v>1</v>
      </c>
      <c r="E242" s="38">
        <v>51</v>
      </c>
      <c r="F242" s="38">
        <v>89</v>
      </c>
      <c r="L242" s="36" t="str">
        <f t="shared" si="23"/>
        <v>P4S1A12</v>
      </c>
      <c r="M242" s="49">
        <v>4</v>
      </c>
      <c r="N242" s="49">
        <v>1</v>
      </c>
      <c r="O242" s="49">
        <v>1</v>
      </c>
      <c r="P242" s="50" t="s">
        <v>44</v>
      </c>
      <c r="Q242" s="51">
        <v>4745</v>
      </c>
    </row>
    <row r="243" spans="1:17">
      <c r="A243" s="38" t="str">
        <f t="shared" si="22"/>
        <v>P15S1A52</v>
      </c>
      <c r="B243" s="38" t="s">
        <v>130</v>
      </c>
      <c r="C243" s="38">
        <v>15</v>
      </c>
      <c r="D243" s="38">
        <v>1</v>
      </c>
      <c r="E243" s="38">
        <v>52</v>
      </c>
      <c r="F243" s="38">
        <v>97</v>
      </c>
      <c r="L243" s="36" t="str">
        <f t="shared" si="23"/>
        <v>P4S1A13</v>
      </c>
      <c r="M243" s="49">
        <v>4</v>
      </c>
      <c r="N243" s="49">
        <v>1</v>
      </c>
      <c r="O243" s="49">
        <v>1</v>
      </c>
      <c r="P243" s="50" t="s">
        <v>45</v>
      </c>
      <c r="Q243" s="51">
        <v>4745</v>
      </c>
    </row>
    <row r="244" spans="1:17">
      <c r="A244" s="38" t="str">
        <f t="shared" si="22"/>
        <v>P15S1A53</v>
      </c>
      <c r="B244" s="38" t="s">
        <v>130</v>
      </c>
      <c r="C244" s="38">
        <v>15</v>
      </c>
      <c r="D244" s="38">
        <v>1</v>
      </c>
      <c r="E244" s="38">
        <v>53</v>
      </c>
      <c r="F244" s="38">
        <v>106</v>
      </c>
      <c r="L244" s="36" t="str">
        <f t="shared" si="23"/>
        <v>P4S1A14</v>
      </c>
      <c r="M244" s="49">
        <v>4</v>
      </c>
      <c r="N244" s="49">
        <v>1</v>
      </c>
      <c r="O244" s="49">
        <v>1</v>
      </c>
      <c r="P244" s="50" t="s">
        <v>46</v>
      </c>
      <c r="Q244" s="51">
        <v>4745</v>
      </c>
    </row>
    <row r="245" spans="1:17">
      <c r="A245" s="38" t="str">
        <f t="shared" si="22"/>
        <v>P15S1A54</v>
      </c>
      <c r="B245" s="38" t="s">
        <v>130</v>
      </c>
      <c r="C245" s="38">
        <v>15</v>
      </c>
      <c r="D245" s="38">
        <v>1</v>
      </c>
      <c r="E245" s="38">
        <v>54</v>
      </c>
      <c r="F245" s="38">
        <v>116</v>
      </c>
      <c r="L245" s="36" t="str">
        <f t="shared" si="23"/>
        <v>P4S1A15</v>
      </c>
      <c r="M245" s="49">
        <v>4</v>
      </c>
      <c r="N245" s="49">
        <v>1</v>
      </c>
      <c r="O245" s="49">
        <v>1</v>
      </c>
      <c r="P245" s="50" t="s">
        <v>47</v>
      </c>
      <c r="Q245" s="51">
        <v>2551</v>
      </c>
    </row>
    <row r="246" spans="1:17">
      <c r="A246" s="38" t="str">
        <f t="shared" si="22"/>
        <v>P15S1A55</v>
      </c>
      <c r="B246" s="38" t="s">
        <v>130</v>
      </c>
      <c r="C246" s="38">
        <v>15</v>
      </c>
      <c r="D246" s="38">
        <v>1</v>
      </c>
      <c r="E246" s="38">
        <v>55</v>
      </c>
      <c r="F246" s="38">
        <v>127</v>
      </c>
      <c r="L246" s="36" t="str">
        <f t="shared" si="23"/>
        <v>P4S1A16</v>
      </c>
      <c r="M246" s="49">
        <v>4</v>
      </c>
      <c r="N246" s="49">
        <v>1</v>
      </c>
      <c r="O246" s="49">
        <v>1</v>
      </c>
      <c r="P246" s="50" t="s">
        <v>48</v>
      </c>
      <c r="Q246" s="51">
        <v>2551</v>
      </c>
    </row>
    <row r="247" spans="1:17">
      <c r="A247" s="38" t="str">
        <f t="shared" si="22"/>
        <v>P15S1A56</v>
      </c>
      <c r="B247" s="38" t="s">
        <v>130</v>
      </c>
      <c r="C247" s="38">
        <v>15</v>
      </c>
      <c r="D247" s="38">
        <v>1</v>
      </c>
      <c r="E247" s="38">
        <v>56</v>
      </c>
      <c r="F247" s="38">
        <v>139</v>
      </c>
      <c r="L247" s="36" t="str">
        <f t="shared" si="23"/>
        <v>P4S1A17</v>
      </c>
      <c r="M247" s="49">
        <v>4</v>
      </c>
      <c r="N247" s="49">
        <v>1</v>
      </c>
      <c r="O247" s="49">
        <v>1</v>
      </c>
      <c r="P247" s="50" t="s">
        <v>49</v>
      </c>
      <c r="Q247" s="51">
        <v>2551</v>
      </c>
    </row>
    <row r="248" spans="1:17">
      <c r="A248" s="38" t="str">
        <f t="shared" si="22"/>
        <v>P15S1A57</v>
      </c>
      <c r="B248" s="38" t="s">
        <v>130</v>
      </c>
      <c r="C248" s="38">
        <v>15</v>
      </c>
      <c r="D248" s="38">
        <v>1</v>
      </c>
      <c r="E248" s="38">
        <v>57</v>
      </c>
      <c r="F248" s="38">
        <v>152</v>
      </c>
      <c r="L248" s="36" t="str">
        <f t="shared" si="23"/>
        <v>P4S1A18</v>
      </c>
      <c r="M248" s="49">
        <v>4</v>
      </c>
      <c r="N248" s="49">
        <v>1</v>
      </c>
      <c r="O248" s="49">
        <v>1</v>
      </c>
      <c r="P248" s="50" t="s">
        <v>50</v>
      </c>
      <c r="Q248" s="51">
        <v>2551</v>
      </c>
    </row>
    <row r="249" spans="1:17">
      <c r="A249" s="38" t="str">
        <f t="shared" si="22"/>
        <v>P15S1A58</v>
      </c>
      <c r="B249" s="38" t="s">
        <v>130</v>
      </c>
      <c r="C249" s="38">
        <v>15</v>
      </c>
      <c r="D249" s="38">
        <v>1</v>
      </c>
      <c r="E249" s="38">
        <v>58</v>
      </c>
      <c r="F249" s="38">
        <v>166</v>
      </c>
      <c r="L249" s="36" t="str">
        <f t="shared" si="23"/>
        <v>P4S1A19</v>
      </c>
      <c r="M249" s="49">
        <v>4</v>
      </c>
      <c r="N249" s="49">
        <v>1</v>
      </c>
      <c r="O249" s="49">
        <v>1</v>
      </c>
      <c r="P249" s="50" t="s">
        <v>51</v>
      </c>
      <c r="Q249" s="51">
        <v>2551</v>
      </c>
    </row>
    <row r="250" spans="1:17">
      <c r="A250" s="38" t="str">
        <f t="shared" si="22"/>
        <v>P15S1A59</v>
      </c>
      <c r="B250" s="38" t="s">
        <v>130</v>
      </c>
      <c r="C250" s="38">
        <v>15</v>
      </c>
      <c r="D250" s="38">
        <v>1</v>
      </c>
      <c r="E250" s="38">
        <v>59</v>
      </c>
      <c r="F250" s="38">
        <v>183</v>
      </c>
      <c r="L250" s="36" t="str">
        <f t="shared" si="23"/>
        <v>P4S1A20</v>
      </c>
      <c r="M250" s="49">
        <v>4</v>
      </c>
      <c r="N250" s="49">
        <v>1</v>
      </c>
      <c r="O250" s="49">
        <v>1</v>
      </c>
      <c r="P250" s="50" t="s">
        <v>52</v>
      </c>
      <c r="Q250" s="51">
        <v>3048</v>
      </c>
    </row>
    <row r="251" spans="1:17">
      <c r="A251" s="38" t="str">
        <f t="shared" si="22"/>
        <v>P15S1A60</v>
      </c>
      <c r="B251" s="38" t="s">
        <v>130</v>
      </c>
      <c r="C251" s="38">
        <v>15</v>
      </c>
      <c r="D251" s="38">
        <v>1</v>
      </c>
      <c r="E251" s="38">
        <v>60</v>
      </c>
      <c r="F251" s="38">
        <v>200</v>
      </c>
      <c r="L251" s="36" t="str">
        <f t="shared" si="23"/>
        <v>P4S1A21</v>
      </c>
      <c r="M251" s="49">
        <v>4</v>
      </c>
      <c r="N251" s="49">
        <v>1</v>
      </c>
      <c r="O251" s="49">
        <v>1</v>
      </c>
      <c r="P251" s="50" t="s">
        <v>53</v>
      </c>
      <c r="Q251" s="51">
        <v>3048</v>
      </c>
    </row>
    <row r="252" spans="1:17">
      <c r="A252" s="38" t="str">
        <f t="shared" si="22"/>
        <v>P15S1A61</v>
      </c>
      <c r="B252" s="38" t="s">
        <v>130</v>
      </c>
      <c r="C252" s="38">
        <v>15</v>
      </c>
      <c r="D252" s="38">
        <v>1</v>
      </c>
      <c r="E252" s="38">
        <v>61</v>
      </c>
      <c r="F252" s="38">
        <v>219</v>
      </c>
      <c r="L252" s="36" t="str">
        <f t="shared" si="23"/>
        <v>P4S1A22</v>
      </c>
      <c r="M252" s="49">
        <v>4</v>
      </c>
      <c r="N252" s="49">
        <v>1</v>
      </c>
      <c r="O252" s="49">
        <v>1</v>
      </c>
      <c r="P252" s="50" t="s">
        <v>54</v>
      </c>
      <c r="Q252" s="51">
        <v>3048</v>
      </c>
    </row>
    <row r="253" spans="1:17">
      <c r="A253" s="38" t="str">
        <f t="shared" si="22"/>
        <v>P15S1A62</v>
      </c>
      <c r="B253" s="38" t="s">
        <v>130</v>
      </c>
      <c r="C253" s="38">
        <v>15</v>
      </c>
      <c r="D253" s="38">
        <v>1</v>
      </c>
      <c r="E253" s="38">
        <v>62</v>
      </c>
      <c r="F253" s="38">
        <v>240</v>
      </c>
      <c r="L253" s="36" t="str">
        <f t="shared" si="23"/>
        <v>P4S1A23</v>
      </c>
      <c r="M253" s="49">
        <v>4</v>
      </c>
      <c r="N253" s="49">
        <v>1</v>
      </c>
      <c r="O253" s="49">
        <v>1</v>
      </c>
      <c r="P253" s="50" t="s">
        <v>55</v>
      </c>
      <c r="Q253" s="51">
        <v>3048</v>
      </c>
    </row>
    <row r="254" spans="1:17">
      <c r="A254" s="38" t="str">
        <f t="shared" si="22"/>
        <v>P15S1A63</v>
      </c>
      <c r="B254" s="38" t="s">
        <v>130</v>
      </c>
      <c r="C254" s="38">
        <v>15</v>
      </c>
      <c r="D254" s="38">
        <v>1</v>
      </c>
      <c r="E254" s="38">
        <v>63</v>
      </c>
      <c r="F254" s="38">
        <v>262</v>
      </c>
      <c r="L254" s="36" t="str">
        <f t="shared" si="23"/>
        <v>P4S1A24</v>
      </c>
      <c r="M254" s="49">
        <v>4</v>
      </c>
      <c r="N254" s="49">
        <v>1</v>
      </c>
      <c r="O254" s="49">
        <v>1</v>
      </c>
      <c r="P254" s="50" t="s">
        <v>56</v>
      </c>
      <c r="Q254" s="51">
        <v>3048</v>
      </c>
    </row>
    <row r="255" spans="1:17">
      <c r="A255" s="38" t="str">
        <f t="shared" si="22"/>
        <v>P15S1A64</v>
      </c>
      <c r="B255" s="38" t="s">
        <v>130</v>
      </c>
      <c r="C255" s="38">
        <v>15</v>
      </c>
      <c r="D255" s="38">
        <v>1</v>
      </c>
      <c r="E255" s="38">
        <v>64</v>
      </c>
      <c r="F255" s="38">
        <v>288</v>
      </c>
      <c r="L255" s="36" t="str">
        <f t="shared" si="23"/>
        <v>P4S1A25</v>
      </c>
      <c r="M255" s="49">
        <v>4</v>
      </c>
      <c r="N255" s="49">
        <v>1</v>
      </c>
      <c r="O255" s="49">
        <v>1</v>
      </c>
      <c r="P255" s="50" t="s">
        <v>57</v>
      </c>
      <c r="Q255" s="51">
        <v>3205</v>
      </c>
    </row>
    <row r="256" spans="1:17">
      <c r="A256" s="38" t="str">
        <f t="shared" si="22"/>
        <v>P15S1A65</v>
      </c>
      <c r="B256" s="38" t="s">
        <v>130</v>
      </c>
      <c r="C256" s="38">
        <v>15</v>
      </c>
      <c r="D256" s="38">
        <v>1</v>
      </c>
      <c r="E256" s="38">
        <v>65</v>
      </c>
      <c r="F256" s="38">
        <v>315</v>
      </c>
      <c r="L256" s="36" t="str">
        <f t="shared" si="23"/>
        <v>P4S1A26</v>
      </c>
      <c r="M256" s="49">
        <v>4</v>
      </c>
      <c r="N256" s="49">
        <v>1</v>
      </c>
      <c r="O256" s="49">
        <v>1</v>
      </c>
      <c r="P256" s="50" t="s">
        <v>58</v>
      </c>
      <c r="Q256" s="51">
        <v>3205</v>
      </c>
    </row>
    <row r="257" spans="1:17">
      <c r="A257" s="38" t="str">
        <f t="shared" si="22"/>
        <v>P15S2A15</v>
      </c>
      <c r="B257" s="38" t="s">
        <v>130</v>
      </c>
      <c r="C257" s="38">
        <v>15</v>
      </c>
      <c r="D257" s="38">
        <v>2</v>
      </c>
      <c r="E257" s="38">
        <v>15</v>
      </c>
      <c r="F257" s="38">
        <v>4</v>
      </c>
      <c r="L257" s="36" t="str">
        <f t="shared" si="23"/>
        <v>P4S1A27</v>
      </c>
      <c r="M257" s="49">
        <v>4</v>
      </c>
      <c r="N257" s="49">
        <v>1</v>
      </c>
      <c r="O257" s="49">
        <v>1</v>
      </c>
      <c r="P257" s="50" t="s">
        <v>59</v>
      </c>
      <c r="Q257" s="51">
        <v>3205</v>
      </c>
    </row>
    <row r="258" spans="1:17">
      <c r="A258" s="38" t="str">
        <f t="shared" ref="A258:A321" si="24">"P"&amp;REPT("0",2-LEN(C258))&amp;C258&amp;"S"&amp;D258&amp;"A"&amp;REPT("0",2-LEN(E258))&amp;E258</f>
        <v>P15S2A16</v>
      </c>
      <c r="B258" s="38" t="s">
        <v>130</v>
      </c>
      <c r="C258" s="38">
        <v>15</v>
      </c>
      <c r="D258" s="38">
        <v>2</v>
      </c>
      <c r="E258" s="38">
        <v>16</v>
      </c>
      <c r="F258" s="38">
        <v>4</v>
      </c>
      <c r="L258" s="36" t="str">
        <f t="shared" ref="L258:L321" si="25">"P"&amp;M258&amp;"S"&amp;O258&amp;"A"&amp;REPT("0",2-LEN(P258))&amp;P258</f>
        <v>P4S1A28</v>
      </c>
      <c r="M258" s="49">
        <v>4</v>
      </c>
      <c r="N258" s="49">
        <v>1</v>
      </c>
      <c r="O258" s="49">
        <v>1</v>
      </c>
      <c r="P258" s="50" t="s">
        <v>60</v>
      </c>
      <c r="Q258" s="51">
        <v>3205</v>
      </c>
    </row>
    <row r="259" spans="1:17">
      <c r="A259" s="38" t="str">
        <f t="shared" si="24"/>
        <v>P15S2A17</v>
      </c>
      <c r="B259" s="38" t="s">
        <v>130</v>
      </c>
      <c r="C259" s="38">
        <v>15</v>
      </c>
      <c r="D259" s="38">
        <v>2</v>
      </c>
      <c r="E259" s="38">
        <v>17</v>
      </c>
      <c r="F259" s="38">
        <v>5</v>
      </c>
      <c r="L259" s="36" t="str">
        <f t="shared" si="25"/>
        <v>P4S1A29</v>
      </c>
      <c r="M259" s="49">
        <v>4</v>
      </c>
      <c r="N259" s="49">
        <v>1</v>
      </c>
      <c r="O259" s="49">
        <v>1</v>
      </c>
      <c r="P259" s="50" t="s">
        <v>61</v>
      </c>
      <c r="Q259" s="51">
        <v>3205</v>
      </c>
    </row>
    <row r="260" spans="1:17">
      <c r="A260" s="38" t="str">
        <f t="shared" si="24"/>
        <v>P15S2A18</v>
      </c>
      <c r="B260" s="38" t="s">
        <v>130</v>
      </c>
      <c r="C260" s="38">
        <v>15</v>
      </c>
      <c r="D260" s="38">
        <v>2</v>
      </c>
      <c r="E260" s="38">
        <v>18</v>
      </c>
      <c r="F260" s="38">
        <v>5</v>
      </c>
      <c r="L260" s="36" t="str">
        <f t="shared" si="25"/>
        <v>P4S1A30</v>
      </c>
      <c r="M260" s="49">
        <v>4</v>
      </c>
      <c r="N260" s="49">
        <v>1</v>
      </c>
      <c r="O260" s="49">
        <v>1</v>
      </c>
      <c r="P260" s="50" t="s">
        <v>62</v>
      </c>
      <c r="Q260" s="51">
        <v>4105</v>
      </c>
    </row>
    <row r="261" spans="1:17">
      <c r="A261" s="38" t="str">
        <f t="shared" si="24"/>
        <v>P15S2A19</v>
      </c>
      <c r="B261" s="38" t="s">
        <v>130</v>
      </c>
      <c r="C261" s="38">
        <v>15</v>
      </c>
      <c r="D261" s="38">
        <v>2</v>
      </c>
      <c r="E261" s="38">
        <v>19</v>
      </c>
      <c r="F261" s="38">
        <v>5</v>
      </c>
      <c r="L261" s="36" t="str">
        <f t="shared" si="25"/>
        <v>P4S1A31</v>
      </c>
      <c r="M261" s="49">
        <v>4</v>
      </c>
      <c r="N261" s="49">
        <v>1</v>
      </c>
      <c r="O261" s="49">
        <v>1</v>
      </c>
      <c r="P261" s="50" t="s">
        <v>63</v>
      </c>
      <c r="Q261" s="51">
        <v>4105</v>
      </c>
    </row>
    <row r="262" spans="1:17">
      <c r="A262" s="38" t="str">
        <f t="shared" si="24"/>
        <v>P15S2A20</v>
      </c>
      <c r="B262" s="38" t="s">
        <v>130</v>
      </c>
      <c r="C262" s="38">
        <v>15</v>
      </c>
      <c r="D262" s="38">
        <v>2</v>
      </c>
      <c r="E262" s="38">
        <v>20</v>
      </c>
      <c r="F262" s="38">
        <v>5</v>
      </c>
      <c r="L262" s="36" t="str">
        <f t="shared" si="25"/>
        <v>P4S1A32</v>
      </c>
      <c r="M262" s="49">
        <v>4</v>
      </c>
      <c r="N262" s="49">
        <v>1</v>
      </c>
      <c r="O262" s="49">
        <v>1</v>
      </c>
      <c r="P262" s="50" t="s">
        <v>64</v>
      </c>
      <c r="Q262" s="51">
        <v>4105</v>
      </c>
    </row>
    <row r="263" spans="1:17">
      <c r="A263" s="38" t="str">
        <f t="shared" si="24"/>
        <v>P15S2A21</v>
      </c>
      <c r="B263" s="38" t="s">
        <v>130</v>
      </c>
      <c r="C263" s="38">
        <v>15</v>
      </c>
      <c r="D263" s="38">
        <v>2</v>
      </c>
      <c r="E263" s="38">
        <v>21</v>
      </c>
      <c r="F263" s="38">
        <v>5</v>
      </c>
      <c r="L263" s="36" t="str">
        <f t="shared" si="25"/>
        <v>P4S1A33</v>
      </c>
      <c r="M263" s="49">
        <v>4</v>
      </c>
      <c r="N263" s="49">
        <v>1</v>
      </c>
      <c r="O263" s="49">
        <v>1</v>
      </c>
      <c r="P263" s="50" t="s">
        <v>65</v>
      </c>
      <c r="Q263" s="51">
        <v>4105</v>
      </c>
    </row>
    <row r="264" spans="1:17">
      <c r="A264" s="38" t="str">
        <f t="shared" si="24"/>
        <v>P15S2A22</v>
      </c>
      <c r="B264" s="38" t="s">
        <v>130</v>
      </c>
      <c r="C264" s="38">
        <v>15</v>
      </c>
      <c r="D264" s="38">
        <v>2</v>
      </c>
      <c r="E264" s="38">
        <v>22</v>
      </c>
      <c r="F264" s="38">
        <v>6</v>
      </c>
      <c r="L264" s="36" t="str">
        <f t="shared" si="25"/>
        <v>P4S1A34</v>
      </c>
      <c r="M264" s="49">
        <v>4</v>
      </c>
      <c r="N264" s="49">
        <v>1</v>
      </c>
      <c r="O264" s="49">
        <v>1</v>
      </c>
      <c r="P264" s="50" t="s">
        <v>66</v>
      </c>
      <c r="Q264" s="51">
        <v>4105</v>
      </c>
    </row>
    <row r="265" spans="1:17">
      <c r="A265" s="38" t="str">
        <f t="shared" si="24"/>
        <v>P15S2A23</v>
      </c>
      <c r="B265" s="38" t="s">
        <v>130</v>
      </c>
      <c r="C265" s="38">
        <v>15</v>
      </c>
      <c r="D265" s="38">
        <v>2</v>
      </c>
      <c r="E265" s="38">
        <v>23</v>
      </c>
      <c r="F265" s="38">
        <v>6</v>
      </c>
      <c r="L265" s="36" t="str">
        <f t="shared" si="25"/>
        <v>P4S1A35</v>
      </c>
      <c r="M265" s="49">
        <v>4</v>
      </c>
      <c r="N265" s="49">
        <v>1</v>
      </c>
      <c r="O265" s="49">
        <v>1</v>
      </c>
      <c r="P265" s="50" t="s">
        <v>67</v>
      </c>
      <c r="Q265" s="51">
        <v>5671</v>
      </c>
    </row>
    <row r="266" spans="1:17">
      <c r="A266" s="38" t="str">
        <f t="shared" si="24"/>
        <v>P15S2A24</v>
      </c>
      <c r="B266" s="38" t="s">
        <v>130</v>
      </c>
      <c r="C266" s="38">
        <v>15</v>
      </c>
      <c r="D266" s="38">
        <v>2</v>
      </c>
      <c r="E266" s="38">
        <v>24</v>
      </c>
      <c r="F266" s="38">
        <v>7</v>
      </c>
      <c r="L266" s="36" t="str">
        <f t="shared" si="25"/>
        <v>P4S1A36</v>
      </c>
      <c r="M266" s="49">
        <v>4</v>
      </c>
      <c r="N266" s="49">
        <v>1</v>
      </c>
      <c r="O266" s="49">
        <v>1</v>
      </c>
      <c r="P266" s="50" t="s">
        <v>68</v>
      </c>
      <c r="Q266" s="51">
        <v>5671</v>
      </c>
    </row>
    <row r="267" spans="1:17">
      <c r="A267" s="38" t="str">
        <f t="shared" si="24"/>
        <v>P15S2A25</v>
      </c>
      <c r="B267" s="38" t="s">
        <v>130</v>
      </c>
      <c r="C267" s="38">
        <v>15</v>
      </c>
      <c r="D267" s="38">
        <v>2</v>
      </c>
      <c r="E267" s="38">
        <v>25</v>
      </c>
      <c r="F267" s="38">
        <v>7</v>
      </c>
      <c r="L267" s="36" t="str">
        <f t="shared" si="25"/>
        <v>P4S1A37</v>
      </c>
      <c r="M267" s="49">
        <v>4</v>
      </c>
      <c r="N267" s="49">
        <v>1</v>
      </c>
      <c r="O267" s="49">
        <v>1</v>
      </c>
      <c r="P267" s="50" t="s">
        <v>69</v>
      </c>
      <c r="Q267" s="51">
        <v>5671</v>
      </c>
    </row>
    <row r="268" spans="1:17">
      <c r="A268" s="38" t="str">
        <f t="shared" si="24"/>
        <v>P15S2A26</v>
      </c>
      <c r="B268" s="38" t="s">
        <v>130</v>
      </c>
      <c r="C268" s="38">
        <v>15</v>
      </c>
      <c r="D268" s="38">
        <v>2</v>
      </c>
      <c r="E268" s="38">
        <v>26</v>
      </c>
      <c r="F268" s="38">
        <v>8</v>
      </c>
      <c r="L268" s="36" t="str">
        <f t="shared" si="25"/>
        <v>P4S1A38</v>
      </c>
      <c r="M268" s="49">
        <v>4</v>
      </c>
      <c r="N268" s="49">
        <v>1</v>
      </c>
      <c r="O268" s="49">
        <v>1</v>
      </c>
      <c r="P268" s="50" t="s">
        <v>70</v>
      </c>
      <c r="Q268" s="51">
        <v>5671</v>
      </c>
    </row>
    <row r="269" spans="1:17">
      <c r="A269" s="38" t="str">
        <f t="shared" si="24"/>
        <v>P15S2A27</v>
      </c>
      <c r="B269" s="38" t="s">
        <v>130</v>
      </c>
      <c r="C269" s="38">
        <v>15</v>
      </c>
      <c r="D269" s="38">
        <v>2</v>
      </c>
      <c r="E269" s="38">
        <v>27</v>
      </c>
      <c r="F269" s="38">
        <v>9</v>
      </c>
      <c r="L269" s="36" t="str">
        <f t="shared" si="25"/>
        <v>P4S1A39</v>
      </c>
      <c r="M269" s="49">
        <v>4</v>
      </c>
      <c r="N269" s="49">
        <v>1</v>
      </c>
      <c r="O269" s="49">
        <v>1</v>
      </c>
      <c r="P269" s="50" t="s">
        <v>71</v>
      </c>
      <c r="Q269" s="51">
        <v>5671</v>
      </c>
    </row>
    <row r="270" spans="1:17">
      <c r="A270" s="38" t="str">
        <f t="shared" si="24"/>
        <v>P15S2A28</v>
      </c>
      <c r="B270" s="38" t="s">
        <v>130</v>
      </c>
      <c r="C270" s="38">
        <v>15</v>
      </c>
      <c r="D270" s="38">
        <v>2</v>
      </c>
      <c r="E270" s="38">
        <v>28</v>
      </c>
      <c r="F270" s="38">
        <v>9</v>
      </c>
      <c r="L270" s="36" t="str">
        <f t="shared" si="25"/>
        <v>P4S1A40</v>
      </c>
      <c r="M270" s="49">
        <v>4</v>
      </c>
      <c r="N270" s="49">
        <v>1</v>
      </c>
      <c r="O270" s="49">
        <v>1</v>
      </c>
      <c r="P270" s="50" t="s">
        <v>72</v>
      </c>
      <c r="Q270" s="51">
        <v>7209</v>
      </c>
    </row>
    <row r="271" spans="1:17">
      <c r="A271" s="38" t="str">
        <f t="shared" si="24"/>
        <v>P15S2A29</v>
      </c>
      <c r="B271" s="38" t="s">
        <v>130</v>
      </c>
      <c r="C271" s="38">
        <v>15</v>
      </c>
      <c r="D271" s="38">
        <v>2</v>
      </c>
      <c r="E271" s="38">
        <v>29</v>
      </c>
      <c r="F271" s="38">
        <v>10</v>
      </c>
      <c r="L271" s="36" t="str">
        <f t="shared" si="25"/>
        <v>P4S1A41</v>
      </c>
      <c r="M271" s="49">
        <v>4</v>
      </c>
      <c r="N271" s="49">
        <v>1</v>
      </c>
      <c r="O271" s="49">
        <v>1</v>
      </c>
      <c r="P271" s="50" t="s">
        <v>73</v>
      </c>
      <c r="Q271" s="51">
        <v>7209</v>
      </c>
    </row>
    <row r="272" spans="1:17">
      <c r="A272" s="38" t="str">
        <f t="shared" si="24"/>
        <v>P15S2A30</v>
      </c>
      <c r="B272" s="38" t="s">
        <v>130</v>
      </c>
      <c r="C272" s="38">
        <v>15</v>
      </c>
      <c r="D272" s="38">
        <v>2</v>
      </c>
      <c r="E272" s="38">
        <v>30</v>
      </c>
      <c r="F272" s="38">
        <v>11</v>
      </c>
      <c r="L272" s="36" t="str">
        <f t="shared" si="25"/>
        <v>P4S1A42</v>
      </c>
      <c r="M272" s="49">
        <v>4</v>
      </c>
      <c r="N272" s="49">
        <v>1</v>
      </c>
      <c r="O272" s="49">
        <v>1</v>
      </c>
      <c r="P272" s="50" t="s">
        <v>74</v>
      </c>
      <c r="Q272" s="51">
        <v>7209</v>
      </c>
    </row>
    <row r="273" spans="1:17">
      <c r="A273" s="38" t="str">
        <f t="shared" si="24"/>
        <v>P15S2A31</v>
      </c>
      <c r="B273" s="38" t="s">
        <v>130</v>
      </c>
      <c r="C273" s="38">
        <v>15</v>
      </c>
      <c r="D273" s="38">
        <v>2</v>
      </c>
      <c r="E273" s="38">
        <v>31</v>
      </c>
      <c r="F273" s="38">
        <v>12</v>
      </c>
      <c r="L273" s="36" t="str">
        <f t="shared" si="25"/>
        <v>P4S1A43</v>
      </c>
      <c r="M273" s="49">
        <v>4</v>
      </c>
      <c r="N273" s="49">
        <v>1</v>
      </c>
      <c r="O273" s="49">
        <v>1</v>
      </c>
      <c r="P273" s="50" t="s">
        <v>75</v>
      </c>
      <c r="Q273" s="51">
        <v>7209</v>
      </c>
    </row>
    <row r="274" spans="1:17">
      <c r="A274" s="38" t="str">
        <f t="shared" si="24"/>
        <v>P15S2A32</v>
      </c>
      <c r="B274" s="38" t="s">
        <v>130</v>
      </c>
      <c r="C274" s="38">
        <v>15</v>
      </c>
      <c r="D274" s="38">
        <v>2</v>
      </c>
      <c r="E274" s="38">
        <v>32</v>
      </c>
      <c r="F274" s="38">
        <v>13</v>
      </c>
      <c r="L274" s="36" t="str">
        <f t="shared" si="25"/>
        <v>P4S1A44</v>
      </c>
      <c r="M274" s="49">
        <v>4</v>
      </c>
      <c r="N274" s="49">
        <v>1</v>
      </c>
      <c r="O274" s="49">
        <v>1</v>
      </c>
      <c r="P274" s="50" t="s">
        <v>76</v>
      </c>
      <c r="Q274" s="51">
        <v>7209</v>
      </c>
    </row>
    <row r="275" spans="1:17">
      <c r="A275" s="38" t="str">
        <f t="shared" si="24"/>
        <v>P15S2A33</v>
      </c>
      <c r="B275" s="38" t="s">
        <v>130</v>
      </c>
      <c r="C275" s="38">
        <v>15</v>
      </c>
      <c r="D275" s="38">
        <v>2</v>
      </c>
      <c r="E275" s="38">
        <v>33</v>
      </c>
      <c r="F275" s="38">
        <v>14</v>
      </c>
      <c r="L275" s="36" t="str">
        <f t="shared" si="25"/>
        <v>P4S1A45</v>
      </c>
      <c r="M275" s="49">
        <v>4</v>
      </c>
      <c r="N275" s="49">
        <v>1</v>
      </c>
      <c r="O275" s="49">
        <v>1</v>
      </c>
      <c r="P275" s="50" t="s">
        <v>77</v>
      </c>
      <c r="Q275" s="51">
        <v>8781</v>
      </c>
    </row>
    <row r="276" spans="1:17">
      <c r="A276" s="38" t="str">
        <f t="shared" si="24"/>
        <v>P15S2A34</v>
      </c>
      <c r="B276" s="38" t="s">
        <v>130</v>
      </c>
      <c r="C276" s="38">
        <v>15</v>
      </c>
      <c r="D276" s="38">
        <v>2</v>
      </c>
      <c r="E276" s="38">
        <v>34</v>
      </c>
      <c r="F276" s="38">
        <v>15</v>
      </c>
      <c r="L276" s="36" t="str">
        <f t="shared" si="25"/>
        <v>P4S1A46</v>
      </c>
      <c r="M276" s="49">
        <v>4</v>
      </c>
      <c r="N276" s="49">
        <v>1</v>
      </c>
      <c r="O276" s="49">
        <v>1</v>
      </c>
      <c r="P276" s="50" t="s">
        <v>78</v>
      </c>
      <c r="Q276" s="51">
        <v>8781</v>
      </c>
    </row>
    <row r="277" spans="1:17">
      <c r="A277" s="38" t="str">
        <f t="shared" si="24"/>
        <v>P15S2A35</v>
      </c>
      <c r="B277" s="38" t="s">
        <v>130</v>
      </c>
      <c r="C277" s="38">
        <v>15</v>
      </c>
      <c r="D277" s="38">
        <v>2</v>
      </c>
      <c r="E277" s="38">
        <v>35</v>
      </c>
      <c r="F277" s="38">
        <v>17</v>
      </c>
      <c r="L277" s="36" t="str">
        <f t="shared" si="25"/>
        <v>P4S1A47</v>
      </c>
      <c r="M277" s="49">
        <v>4</v>
      </c>
      <c r="N277" s="49">
        <v>1</v>
      </c>
      <c r="O277" s="49">
        <v>1</v>
      </c>
      <c r="P277" s="50" t="s">
        <v>79</v>
      </c>
      <c r="Q277" s="51">
        <v>8781</v>
      </c>
    </row>
    <row r="278" spans="1:17">
      <c r="A278" s="38" t="str">
        <f t="shared" si="24"/>
        <v>P15S2A36</v>
      </c>
      <c r="B278" s="38" t="s">
        <v>130</v>
      </c>
      <c r="C278" s="38">
        <v>15</v>
      </c>
      <c r="D278" s="38">
        <v>2</v>
      </c>
      <c r="E278" s="38">
        <v>36</v>
      </c>
      <c r="F278" s="38">
        <v>17</v>
      </c>
      <c r="L278" s="36" t="str">
        <f t="shared" si="25"/>
        <v>P4S1A48</v>
      </c>
      <c r="M278" s="49">
        <v>4</v>
      </c>
      <c r="N278" s="49">
        <v>1</v>
      </c>
      <c r="O278" s="49">
        <v>1</v>
      </c>
      <c r="P278" s="50" t="s">
        <v>80</v>
      </c>
      <c r="Q278" s="51">
        <v>8781</v>
      </c>
    </row>
    <row r="279" spans="1:17">
      <c r="A279" s="38" t="str">
        <f t="shared" si="24"/>
        <v>P15S2A37</v>
      </c>
      <c r="B279" s="38" t="s">
        <v>130</v>
      </c>
      <c r="C279" s="38">
        <v>15</v>
      </c>
      <c r="D279" s="38">
        <v>2</v>
      </c>
      <c r="E279" s="38">
        <v>37</v>
      </c>
      <c r="F279" s="38">
        <v>19</v>
      </c>
      <c r="L279" s="36" t="str">
        <f t="shared" si="25"/>
        <v>P4S1A49</v>
      </c>
      <c r="M279" s="49">
        <v>4</v>
      </c>
      <c r="N279" s="49">
        <v>1</v>
      </c>
      <c r="O279" s="49">
        <v>1</v>
      </c>
      <c r="P279" s="50" t="s">
        <v>81</v>
      </c>
      <c r="Q279" s="51">
        <v>8781</v>
      </c>
    </row>
    <row r="280" spans="1:17">
      <c r="A280" s="38" t="str">
        <f t="shared" si="24"/>
        <v>P15S2A38</v>
      </c>
      <c r="B280" s="38" t="s">
        <v>130</v>
      </c>
      <c r="C280" s="38">
        <v>15</v>
      </c>
      <c r="D280" s="38">
        <v>2</v>
      </c>
      <c r="E280" s="38">
        <v>38</v>
      </c>
      <c r="F280" s="38">
        <v>19</v>
      </c>
      <c r="L280" s="36" t="str">
        <f t="shared" si="25"/>
        <v>P4S1A50</v>
      </c>
      <c r="M280" s="49">
        <v>4</v>
      </c>
      <c r="N280" s="49">
        <v>1</v>
      </c>
      <c r="O280" s="49">
        <v>1</v>
      </c>
      <c r="P280" s="50" t="s">
        <v>82</v>
      </c>
      <c r="Q280" s="51">
        <v>10596</v>
      </c>
    </row>
    <row r="281" spans="1:17">
      <c r="A281" s="38" t="str">
        <f t="shared" si="24"/>
        <v>P15S2A39</v>
      </c>
      <c r="B281" s="38" t="s">
        <v>130</v>
      </c>
      <c r="C281" s="38">
        <v>15</v>
      </c>
      <c r="D281" s="38">
        <v>2</v>
      </c>
      <c r="E281" s="38">
        <v>39</v>
      </c>
      <c r="F281" s="38">
        <v>21</v>
      </c>
      <c r="L281" s="36" t="str">
        <f t="shared" si="25"/>
        <v>P4S1A51</v>
      </c>
      <c r="M281" s="49">
        <v>4</v>
      </c>
      <c r="N281" s="49">
        <v>1</v>
      </c>
      <c r="O281" s="49">
        <v>1</v>
      </c>
      <c r="P281" s="50" t="s">
        <v>83</v>
      </c>
      <c r="Q281" s="51">
        <v>10596</v>
      </c>
    </row>
    <row r="282" spans="1:17">
      <c r="A282" s="38" t="str">
        <f t="shared" si="24"/>
        <v>P15S2A40</v>
      </c>
      <c r="B282" s="38" t="s">
        <v>130</v>
      </c>
      <c r="C282" s="38">
        <v>15</v>
      </c>
      <c r="D282" s="38">
        <v>2</v>
      </c>
      <c r="E282" s="38">
        <v>40</v>
      </c>
      <c r="F282" s="38">
        <v>22</v>
      </c>
      <c r="L282" s="36" t="str">
        <f t="shared" si="25"/>
        <v>P4S1A52</v>
      </c>
      <c r="M282" s="49">
        <v>4</v>
      </c>
      <c r="N282" s="49">
        <v>1</v>
      </c>
      <c r="O282" s="49">
        <v>1</v>
      </c>
      <c r="P282" s="50" t="s">
        <v>84</v>
      </c>
      <c r="Q282" s="51">
        <v>10596</v>
      </c>
    </row>
    <row r="283" spans="1:17">
      <c r="A283" s="38" t="str">
        <f t="shared" si="24"/>
        <v>P15S2A41</v>
      </c>
      <c r="B283" s="38" t="s">
        <v>130</v>
      </c>
      <c r="C283" s="38">
        <v>15</v>
      </c>
      <c r="D283" s="38">
        <v>2</v>
      </c>
      <c r="E283" s="38">
        <v>41</v>
      </c>
      <c r="F283" s="38">
        <v>24</v>
      </c>
      <c r="L283" s="36" t="str">
        <f t="shared" si="25"/>
        <v>P4S1A53</v>
      </c>
      <c r="M283" s="49">
        <v>4</v>
      </c>
      <c r="N283" s="49">
        <v>1</v>
      </c>
      <c r="O283" s="49">
        <v>1</v>
      </c>
      <c r="P283" s="50" t="s">
        <v>85</v>
      </c>
      <c r="Q283" s="51">
        <v>10596</v>
      </c>
    </row>
    <row r="284" spans="1:17">
      <c r="A284" s="38" t="str">
        <f t="shared" si="24"/>
        <v>P15S2A42</v>
      </c>
      <c r="B284" s="38" t="s">
        <v>130</v>
      </c>
      <c r="C284" s="38">
        <v>15</v>
      </c>
      <c r="D284" s="38">
        <v>2</v>
      </c>
      <c r="E284" s="38">
        <v>42</v>
      </c>
      <c r="F284" s="38">
        <v>25</v>
      </c>
      <c r="L284" s="36" t="str">
        <f t="shared" si="25"/>
        <v>P4S1A54</v>
      </c>
      <c r="M284" s="49">
        <v>4</v>
      </c>
      <c r="N284" s="49">
        <v>1</v>
      </c>
      <c r="O284" s="49">
        <v>1</v>
      </c>
      <c r="P284" s="50" t="s">
        <v>86</v>
      </c>
      <c r="Q284" s="51">
        <v>10596</v>
      </c>
    </row>
    <row r="285" spans="1:17">
      <c r="A285" s="38" t="str">
        <f t="shared" si="24"/>
        <v>P15S2A43</v>
      </c>
      <c r="B285" s="38" t="s">
        <v>130</v>
      </c>
      <c r="C285" s="38">
        <v>15</v>
      </c>
      <c r="D285" s="38">
        <v>2</v>
      </c>
      <c r="E285" s="38">
        <v>43</v>
      </c>
      <c r="F285" s="38">
        <v>27</v>
      </c>
      <c r="L285" s="36" t="str">
        <f t="shared" si="25"/>
        <v>P4S1A55</v>
      </c>
      <c r="M285" s="49">
        <v>4</v>
      </c>
      <c r="N285" s="49">
        <v>1</v>
      </c>
      <c r="O285" s="49">
        <v>1</v>
      </c>
      <c r="P285" s="50" t="s">
        <v>87</v>
      </c>
      <c r="Q285" s="51">
        <v>12958</v>
      </c>
    </row>
    <row r="286" spans="1:17">
      <c r="A286" s="38" t="str">
        <f t="shared" si="24"/>
        <v>P15S2A44</v>
      </c>
      <c r="B286" s="38" t="s">
        <v>130</v>
      </c>
      <c r="C286" s="38">
        <v>15</v>
      </c>
      <c r="D286" s="38">
        <v>2</v>
      </c>
      <c r="E286" s="38">
        <v>44</v>
      </c>
      <c r="F286" s="38">
        <v>29</v>
      </c>
      <c r="L286" s="36" t="str">
        <f t="shared" si="25"/>
        <v>P4S1A56</v>
      </c>
      <c r="M286" s="49">
        <v>4</v>
      </c>
      <c r="N286" s="49">
        <v>1</v>
      </c>
      <c r="O286" s="49">
        <v>1</v>
      </c>
      <c r="P286" s="50" t="s">
        <v>88</v>
      </c>
      <c r="Q286" s="51">
        <v>12958</v>
      </c>
    </row>
    <row r="287" spans="1:17">
      <c r="A287" s="38" t="str">
        <f t="shared" si="24"/>
        <v>P15S2A45</v>
      </c>
      <c r="B287" s="38" t="s">
        <v>130</v>
      </c>
      <c r="C287" s="38">
        <v>15</v>
      </c>
      <c r="D287" s="38">
        <v>2</v>
      </c>
      <c r="E287" s="38">
        <v>45</v>
      </c>
      <c r="F287" s="38">
        <v>31</v>
      </c>
      <c r="L287" s="36" t="str">
        <f t="shared" si="25"/>
        <v>P4S1A57</v>
      </c>
      <c r="M287" s="49">
        <v>4</v>
      </c>
      <c r="N287" s="49">
        <v>1</v>
      </c>
      <c r="O287" s="49">
        <v>1</v>
      </c>
      <c r="P287" s="50" t="s">
        <v>89</v>
      </c>
      <c r="Q287" s="51">
        <v>12958</v>
      </c>
    </row>
    <row r="288" spans="1:17">
      <c r="A288" s="38" t="str">
        <f t="shared" si="24"/>
        <v>P15S2A46</v>
      </c>
      <c r="B288" s="38" t="s">
        <v>130</v>
      </c>
      <c r="C288" s="38">
        <v>15</v>
      </c>
      <c r="D288" s="38">
        <v>2</v>
      </c>
      <c r="E288" s="38">
        <v>46</v>
      </c>
      <c r="F288" s="38">
        <v>33</v>
      </c>
      <c r="L288" s="36" t="str">
        <f t="shared" si="25"/>
        <v>P4S1A58</v>
      </c>
      <c r="M288" s="49">
        <v>4</v>
      </c>
      <c r="N288" s="49">
        <v>1</v>
      </c>
      <c r="O288" s="49">
        <v>1</v>
      </c>
      <c r="P288" s="50" t="s">
        <v>90</v>
      </c>
      <c r="Q288" s="51">
        <v>12958</v>
      </c>
    </row>
    <row r="289" spans="1:17">
      <c r="A289" s="38" t="str">
        <f t="shared" si="24"/>
        <v>P15S2A47</v>
      </c>
      <c r="B289" s="38" t="s">
        <v>130</v>
      </c>
      <c r="C289" s="38">
        <v>15</v>
      </c>
      <c r="D289" s="38">
        <v>2</v>
      </c>
      <c r="E289" s="38">
        <v>47</v>
      </c>
      <c r="F289" s="38">
        <v>35</v>
      </c>
      <c r="L289" s="36" t="str">
        <f t="shared" si="25"/>
        <v>P4S1A59</v>
      </c>
      <c r="M289" s="49">
        <v>4</v>
      </c>
      <c r="N289" s="49">
        <v>1</v>
      </c>
      <c r="O289" s="49">
        <v>1</v>
      </c>
      <c r="P289" s="50" t="s">
        <v>91</v>
      </c>
      <c r="Q289" s="51">
        <v>12958</v>
      </c>
    </row>
    <row r="290" spans="1:17">
      <c r="A290" s="38" t="str">
        <f t="shared" si="24"/>
        <v>P15S2A48</v>
      </c>
      <c r="B290" s="38" t="s">
        <v>130</v>
      </c>
      <c r="C290" s="38">
        <v>15</v>
      </c>
      <c r="D290" s="38">
        <v>2</v>
      </c>
      <c r="E290" s="38">
        <v>48</v>
      </c>
      <c r="F290" s="38">
        <v>39</v>
      </c>
      <c r="L290" s="36" t="str">
        <f t="shared" si="25"/>
        <v>P4S1A60</v>
      </c>
      <c r="M290" s="49">
        <v>4</v>
      </c>
      <c r="N290" s="49">
        <v>1</v>
      </c>
      <c r="O290" s="49">
        <v>1</v>
      </c>
      <c r="P290" s="50" t="s">
        <v>92</v>
      </c>
      <c r="Q290" s="51">
        <v>15258</v>
      </c>
    </row>
    <row r="291" spans="1:17">
      <c r="A291" s="38" t="str">
        <f t="shared" si="24"/>
        <v>P15S2A49</v>
      </c>
      <c r="B291" s="38" t="s">
        <v>130</v>
      </c>
      <c r="C291" s="38">
        <v>15</v>
      </c>
      <c r="D291" s="38">
        <v>2</v>
      </c>
      <c r="E291" s="38">
        <v>49</v>
      </c>
      <c r="F291" s="38">
        <v>41</v>
      </c>
      <c r="L291" s="36" t="str">
        <f t="shared" si="25"/>
        <v>P4S1A61</v>
      </c>
      <c r="M291" s="49">
        <v>4</v>
      </c>
      <c r="N291" s="49">
        <v>1</v>
      </c>
      <c r="O291" s="49">
        <v>1</v>
      </c>
      <c r="P291" s="50" t="s">
        <v>93</v>
      </c>
      <c r="Q291" s="51">
        <v>15258</v>
      </c>
    </row>
    <row r="292" spans="1:17">
      <c r="A292" s="38" t="str">
        <f t="shared" si="24"/>
        <v>P15S2A50</v>
      </c>
      <c r="B292" s="38" t="s">
        <v>130</v>
      </c>
      <c r="C292" s="38">
        <v>15</v>
      </c>
      <c r="D292" s="38">
        <v>2</v>
      </c>
      <c r="E292" s="38">
        <v>50</v>
      </c>
      <c r="F292" s="38">
        <v>44</v>
      </c>
      <c r="L292" s="36" t="str">
        <f t="shared" si="25"/>
        <v>P4S1A62</v>
      </c>
      <c r="M292" s="49">
        <v>4</v>
      </c>
      <c r="N292" s="49">
        <v>1</v>
      </c>
      <c r="O292" s="49">
        <v>1</v>
      </c>
      <c r="P292" s="50" t="s">
        <v>94</v>
      </c>
      <c r="Q292" s="51">
        <v>15258</v>
      </c>
    </row>
    <row r="293" spans="1:17">
      <c r="A293" s="38" t="str">
        <f t="shared" si="24"/>
        <v>P15S2A51</v>
      </c>
      <c r="B293" s="38" t="s">
        <v>130</v>
      </c>
      <c r="C293" s="38">
        <v>15</v>
      </c>
      <c r="D293" s="38">
        <v>2</v>
      </c>
      <c r="E293" s="38">
        <v>51</v>
      </c>
      <c r="F293" s="38">
        <v>49</v>
      </c>
      <c r="L293" s="36" t="str">
        <f t="shared" si="25"/>
        <v>P4S1A63</v>
      </c>
      <c r="M293" s="49">
        <v>4</v>
      </c>
      <c r="N293" s="49">
        <v>1</v>
      </c>
      <c r="O293" s="49">
        <v>1</v>
      </c>
      <c r="P293" s="50" t="s">
        <v>95</v>
      </c>
      <c r="Q293" s="51">
        <v>15258</v>
      </c>
    </row>
    <row r="294" spans="1:17">
      <c r="A294" s="38" t="str">
        <f t="shared" si="24"/>
        <v>P15S2A52</v>
      </c>
      <c r="B294" s="38" t="s">
        <v>130</v>
      </c>
      <c r="C294" s="38">
        <v>15</v>
      </c>
      <c r="D294" s="38">
        <v>2</v>
      </c>
      <c r="E294" s="38">
        <v>52</v>
      </c>
      <c r="F294" s="38">
        <v>53</v>
      </c>
      <c r="L294" s="36" t="str">
        <f t="shared" si="25"/>
        <v>P4S1A64</v>
      </c>
      <c r="M294" s="49">
        <v>4</v>
      </c>
      <c r="N294" s="49">
        <v>1</v>
      </c>
      <c r="O294" s="49">
        <v>1</v>
      </c>
      <c r="P294" s="50" t="s">
        <v>96</v>
      </c>
      <c r="Q294" s="51">
        <v>15258</v>
      </c>
    </row>
    <row r="295" spans="1:17">
      <c r="A295" s="38" t="str">
        <f t="shared" si="24"/>
        <v>P15S2A53</v>
      </c>
      <c r="B295" s="38" t="s">
        <v>130</v>
      </c>
      <c r="C295" s="38">
        <v>15</v>
      </c>
      <c r="D295" s="38">
        <v>2</v>
      </c>
      <c r="E295" s="38">
        <v>53</v>
      </c>
      <c r="F295" s="38">
        <v>57</v>
      </c>
      <c r="L295" s="36" t="str">
        <f t="shared" si="25"/>
        <v>P4S1A65</v>
      </c>
      <c r="M295" s="49">
        <v>4</v>
      </c>
      <c r="N295" s="49">
        <v>1</v>
      </c>
      <c r="O295" s="49">
        <v>1</v>
      </c>
      <c r="P295" s="50" t="s">
        <v>97</v>
      </c>
      <c r="Q295" s="51">
        <v>19868</v>
      </c>
    </row>
    <row r="296" spans="1:17">
      <c r="A296" s="38" t="str">
        <f t="shared" si="24"/>
        <v>P15S2A54</v>
      </c>
      <c r="B296" s="38" t="s">
        <v>130</v>
      </c>
      <c r="C296" s="38">
        <v>15</v>
      </c>
      <c r="D296" s="38">
        <v>2</v>
      </c>
      <c r="E296" s="38">
        <v>54</v>
      </c>
      <c r="F296" s="38">
        <v>61</v>
      </c>
      <c r="L296" s="36" t="str">
        <f t="shared" si="25"/>
        <v>P4S1A66</v>
      </c>
      <c r="M296" s="49">
        <v>4</v>
      </c>
      <c r="N296" s="49">
        <v>1</v>
      </c>
      <c r="O296" s="49">
        <v>1</v>
      </c>
      <c r="P296" s="50" t="s">
        <v>98</v>
      </c>
      <c r="Q296" s="51">
        <v>19868</v>
      </c>
    </row>
    <row r="297" spans="1:17">
      <c r="A297" s="38" t="str">
        <f t="shared" si="24"/>
        <v>P15S2A55</v>
      </c>
      <c r="B297" s="38" t="s">
        <v>130</v>
      </c>
      <c r="C297" s="38">
        <v>15</v>
      </c>
      <c r="D297" s="38">
        <v>2</v>
      </c>
      <c r="E297" s="38">
        <v>55</v>
      </c>
      <c r="F297" s="38">
        <v>67</v>
      </c>
      <c r="L297" s="36" t="str">
        <f t="shared" si="25"/>
        <v>P4S1A67</v>
      </c>
      <c r="M297" s="49">
        <v>4</v>
      </c>
      <c r="N297" s="49">
        <v>1</v>
      </c>
      <c r="O297" s="49">
        <v>1</v>
      </c>
      <c r="P297" s="50" t="s">
        <v>99</v>
      </c>
      <c r="Q297" s="51">
        <v>19868</v>
      </c>
    </row>
    <row r="298" spans="1:17">
      <c r="A298" s="38" t="str">
        <f t="shared" si="24"/>
        <v>P15S2A56</v>
      </c>
      <c r="B298" s="38" t="s">
        <v>130</v>
      </c>
      <c r="C298" s="38">
        <v>15</v>
      </c>
      <c r="D298" s="38">
        <v>2</v>
      </c>
      <c r="E298" s="38">
        <v>56</v>
      </c>
      <c r="F298" s="38">
        <v>72</v>
      </c>
      <c r="L298" s="36" t="str">
        <f t="shared" si="25"/>
        <v>P4S1A68</v>
      </c>
      <c r="M298" s="49">
        <v>4</v>
      </c>
      <c r="N298" s="49">
        <v>1</v>
      </c>
      <c r="O298" s="49">
        <v>1</v>
      </c>
      <c r="P298" s="50" t="s">
        <v>100</v>
      </c>
      <c r="Q298" s="51">
        <v>19868</v>
      </c>
    </row>
    <row r="299" spans="1:17">
      <c r="A299" s="38" t="str">
        <f t="shared" si="24"/>
        <v>P15S2A57</v>
      </c>
      <c r="B299" s="38" t="s">
        <v>130</v>
      </c>
      <c r="C299" s="38">
        <v>15</v>
      </c>
      <c r="D299" s="38">
        <v>2</v>
      </c>
      <c r="E299" s="38">
        <v>57</v>
      </c>
      <c r="F299" s="38">
        <v>80</v>
      </c>
      <c r="L299" s="36" t="str">
        <f t="shared" si="25"/>
        <v>P4S1A69</v>
      </c>
      <c r="M299" s="49">
        <v>4</v>
      </c>
      <c r="N299" s="49">
        <v>1</v>
      </c>
      <c r="O299" s="49">
        <v>1</v>
      </c>
      <c r="P299" s="50" t="s">
        <v>101</v>
      </c>
      <c r="Q299" s="51">
        <v>19868</v>
      </c>
    </row>
    <row r="300" spans="1:17">
      <c r="A300" s="38" t="str">
        <f t="shared" si="24"/>
        <v>P15S2A58</v>
      </c>
      <c r="B300" s="38" t="s">
        <v>130</v>
      </c>
      <c r="C300" s="38">
        <v>15</v>
      </c>
      <c r="D300" s="38">
        <v>2</v>
      </c>
      <c r="E300" s="38">
        <v>58</v>
      </c>
      <c r="F300" s="38">
        <v>87</v>
      </c>
      <c r="L300" s="36" t="str">
        <f t="shared" si="25"/>
        <v>P4S1A70</v>
      </c>
      <c r="M300" s="49">
        <v>4</v>
      </c>
      <c r="N300" s="49">
        <v>1</v>
      </c>
      <c r="O300" s="49">
        <v>1</v>
      </c>
      <c r="P300" s="50" t="s">
        <v>102</v>
      </c>
      <c r="Q300" s="51">
        <v>24751</v>
      </c>
    </row>
    <row r="301" spans="1:17">
      <c r="A301" s="38" t="str">
        <f t="shared" si="24"/>
        <v>P15S2A59</v>
      </c>
      <c r="B301" s="38" t="s">
        <v>130</v>
      </c>
      <c r="C301" s="38">
        <v>15</v>
      </c>
      <c r="D301" s="38">
        <v>2</v>
      </c>
      <c r="E301" s="38">
        <v>59</v>
      </c>
      <c r="F301" s="38">
        <v>97</v>
      </c>
      <c r="L301" s="36" t="str">
        <f t="shared" si="25"/>
        <v>P4S1A71</v>
      </c>
      <c r="M301" s="49">
        <v>4</v>
      </c>
      <c r="N301" s="49">
        <v>1</v>
      </c>
      <c r="O301" s="49">
        <v>1</v>
      </c>
      <c r="P301" s="50" t="s">
        <v>103</v>
      </c>
      <c r="Q301" s="51">
        <v>24751</v>
      </c>
    </row>
    <row r="302" spans="1:17">
      <c r="A302" s="38" t="str">
        <f t="shared" si="24"/>
        <v>P15S2A60</v>
      </c>
      <c r="B302" s="38" t="s">
        <v>130</v>
      </c>
      <c r="C302" s="38">
        <v>15</v>
      </c>
      <c r="D302" s="38">
        <v>2</v>
      </c>
      <c r="E302" s="38">
        <v>60</v>
      </c>
      <c r="F302" s="38">
        <v>106</v>
      </c>
      <c r="L302" s="36" t="str">
        <f t="shared" si="25"/>
        <v>P4S1A72</v>
      </c>
      <c r="M302" s="49">
        <v>4</v>
      </c>
      <c r="N302" s="49">
        <v>1</v>
      </c>
      <c r="O302" s="49">
        <v>1</v>
      </c>
      <c r="P302" s="50" t="s">
        <v>104</v>
      </c>
      <c r="Q302" s="51">
        <v>24751</v>
      </c>
    </row>
    <row r="303" spans="1:17">
      <c r="A303" s="38" t="str">
        <f t="shared" si="24"/>
        <v>P15S2A61</v>
      </c>
      <c r="B303" s="38" t="s">
        <v>130</v>
      </c>
      <c r="C303" s="38">
        <v>15</v>
      </c>
      <c r="D303" s="38">
        <v>2</v>
      </c>
      <c r="E303" s="38">
        <v>61</v>
      </c>
      <c r="F303" s="38">
        <v>118</v>
      </c>
      <c r="L303" s="36" t="str">
        <f t="shared" si="25"/>
        <v>P4S1A73</v>
      </c>
      <c r="M303" s="49">
        <v>4</v>
      </c>
      <c r="N303" s="49">
        <v>1</v>
      </c>
      <c r="O303" s="49">
        <v>1</v>
      </c>
      <c r="P303" s="50" t="s">
        <v>105</v>
      </c>
      <c r="Q303" s="51">
        <v>24751</v>
      </c>
    </row>
    <row r="304" spans="1:17">
      <c r="A304" s="38" t="str">
        <f t="shared" si="24"/>
        <v>P15S2A62</v>
      </c>
      <c r="B304" s="38" t="s">
        <v>130</v>
      </c>
      <c r="C304" s="38">
        <v>15</v>
      </c>
      <c r="D304" s="38">
        <v>2</v>
      </c>
      <c r="E304" s="38">
        <v>62</v>
      </c>
      <c r="F304" s="38">
        <v>130</v>
      </c>
      <c r="L304" s="36" t="str">
        <f t="shared" si="25"/>
        <v>P4S1A74</v>
      </c>
      <c r="M304" s="49">
        <v>4</v>
      </c>
      <c r="N304" s="49">
        <v>1</v>
      </c>
      <c r="O304" s="49">
        <v>1</v>
      </c>
      <c r="P304" s="50" t="s">
        <v>106</v>
      </c>
      <c r="Q304" s="51">
        <v>24751</v>
      </c>
    </row>
    <row r="305" spans="1:17">
      <c r="A305" s="38" t="str">
        <f t="shared" si="24"/>
        <v>P15S2A63</v>
      </c>
      <c r="B305" s="38" t="s">
        <v>130</v>
      </c>
      <c r="C305" s="38">
        <v>15</v>
      </c>
      <c r="D305" s="38">
        <v>2</v>
      </c>
      <c r="E305" s="38">
        <v>63</v>
      </c>
      <c r="F305" s="38">
        <v>143</v>
      </c>
      <c r="L305" s="36" t="str">
        <f t="shared" si="25"/>
        <v>P4S1A75</v>
      </c>
      <c r="M305" s="49">
        <v>4</v>
      </c>
      <c r="N305" s="49">
        <v>1</v>
      </c>
      <c r="O305" s="49">
        <v>1</v>
      </c>
      <c r="P305" s="50" t="s">
        <v>107</v>
      </c>
      <c r="Q305" s="51">
        <v>24751</v>
      </c>
    </row>
    <row r="306" spans="1:17">
      <c r="A306" s="38" t="str">
        <f t="shared" si="24"/>
        <v>P15S2A64</v>
      </c>
      <c r="B306" s="38" t="s">
        <v>130</v>
      </c>
      <c r="C306" s="38">
        <v>15</v>
      </c>
      <c r="D306" s="38">
        <v>2</v>
      </c>
      <c r="E306" s="38">
        <v>64</v>
      </c>
      <c r="F306" s="38">
        <v>158</v>
      </c>
      <c r="L306" s="36" t="str">
        <f t="shared" si="25"/>
        <v>P5S1A00</v>
      </c>
      <c r="M306" s="49">
        <v>5</v>
      </c>
      <c r="N306" s="49">
        <v>1</v>
      </c>
      <c r="O306" s="49">
        <v>1</v>
      </c>
      <c r="P306" s="50" t="s">
        <v>32</v>
      </c>
      <c r="Q306" s="51">
        <v>5872</v>
      </c>
    </row>
    <row r="307" spans="1:17">
      <c r="A307" s="38" t="str">
        <f t="shared" si="24"/>
        <v>P15S2A65</v>
      </c>
      <c r="B307" s="38" t="s">
        <v>130</v>
      </c>
      <c r="C307" s="38">
        <v>15</v>
      </c>
      <c r="D307" s="38">
        <v>2</v>
      </c>
      <c r="E307" s="38">
        <v>65</v>
      </c>
      <c r="F307" s="38">
        <v>175</v>
      </c>
      <c r="L307" s="36" t="str">
        <f t="shared" si="25"/>
        <v>P5S1A01</v>
      </c>
      <c r="M307" s="49">
        <v>5</v>
      </c>
      <c r="N307" s="49">
        <v>1</v>
      </c>
      <c r="O307" s="49">
        <v>1</v>
      </c>
      <c r="P307" s="50" t="s">
        <v>33</v>
      </c>
      <c r="Q307" s="51">
        <v>5872</v>
      </c>
    </row>
    <row r="308" spans="1:17">
      <c r="A308" s="38" t="str">
        <f t="shared" si="24"/>
        <v>P20S1A15</v>
      </c>
      <c r="B308" s="38" t="s">
        <v>130</v>
      </c>
      <c r="C308" s="38">
        <v>20</v>
      </c>
      <c r="D308" s="38">
        <v>1</v>
      </c>
      <c r="E308" s="38">
        <v>15</v>
      </c>
      <c r="F308" s="38">
        <v>11</v>
      </c>
      <c r="L308" s="36" t="str">
        <f t="shared" si="25"/>
        <v>P5S1A02</v>
      </c>
      <c r="M308" s="49">
        <v>5</v>
      </c>
      <c r="N308" s="49">
        <v>1</v>
      </c>
      <c r="O308" s="49">
        <v>1</v>
      </c>
      <c r="P308" s="50" t="s">
        <v>34</v>
      </c>
      <c r="Q308" s="51">
        <v>5872</v>
      </c>
    </row>
    <row r="309" spans="1:17">
      <c r="A309" s="38" t="str">
        <f t="shared" si="24"/>
        <v>P20S1A16</v>
      </c>
      <c r="B309" s="38" t="s">
        <v>130</v>
      </c>
      <c r="C309" s="38">
        <v>20</v>
      </c>
      <c r="D309" s="38">
        <v>1</v>
      </c>
      <c r="E309" s="38">
        <v>16</v>
      </c>
      <c r="F309" s="38">
        <v>12</v>
      </c>
      <c r="L309" s="36" t="str">
        <f t="shared" si="25"/>
        <v>P5S1A03</v>
      </c>
      <c r="M309" s="49">
        <v>5</v>
      </c>
      <c r="N309" s="49">
        <v>1</v>
      </c>
      <c r="O309" s="49">
        <v>1</v>
      </c>
      <c r="P309" s="50" t="s">
        <v>35</v>
      </c>
      <c r="Q309" s="51">
        <v>5872</v>
      </c>
    </row>
    <row r="310" spans="1:17">
      <c r="A310" s="38" t="str">
        <f t="shared" si="24"/>
        <v>P20S1A17</v>
      </c>
      <c r="B310" s="38" t="s">
        <v>130</v>
      </c>
      <c r="C310" s="38">
        <v>20</v>
      </c>
      <c r="D310" s="38">
        <v>1</v>
      </c>
      <c r="E310" s="38">
        <v>17</v>
      </c>
      <c r="F310" s="38">
        <v>12</v>
      </c>
      <c r="L310" s="36" t="str">
        <f t="shared" si="25"/>
        <v>P5S1A04</v>
      </c>
      <c r="M310" s="49">
        <v>5</v>
      </c>
      <c r="N310" s="49">
        <v>1</v>
      </c>
      <c r="O310" s="49">
        <v>1</v>
      </c>
      <c r="P310" s="50" t="s">
        <v>36</v>
      </c>
      <c r="Q310" s="51">
        <v>5872</v>
      </c>
    </row>
    <row r="311" spans="1:17">
      <c r="A311" s="38" t="str">
        <f t="shared" si="24"/>
        <v>P20S1A18</v>
      </c>
      <c r="B311" s="38" t="s">
        <v>130</v>
      </c>
      <c r="C311" s="38">
        <v>20</v>
      </c>
      <c r="D311" s="38">
        <v>1</v>
      </c>
      <c r="E311" s="38">
        <v>18</v>
      </c>
      <c r="F311" s="38">
        <v>12</v>
      </c>
      <c r="L311" s="36" t="str">
        <f t="shared" si="25"/>
        <v>P5S1A05</v>
      </c>
      <c r="M311" s="49">
        <v>5</v>
      </c>
      <c r="N311" s="49">
        <v>1</v>
      </c>
      <c r="O311" s="49">
        <v>1</v>
      </c>
      <c r="P311" s="50" t="s">
        <v>37</v>
      </c>
      <c r="Q311" s="51">
        <v>5872</v>
      </c>
    </row>
    <row r="312" spans="1:17">
      <c r="A312" s="38" t="str">
        <f t="shared" si="24"/>
        <v>P20S1A19</v>
      </c>
      <c r="B312" s="38" t="s">
        <v>130</v>
      </c>
      <c r="C312" s="38">
        <v>20</v>
      </c>
      <c r="D312" s="38">
        <v>1</v>
      </c>
      <c r="E312" s="38">
        <v>19</v>
      </c>
      <c r="F312" s="38">
        <v>13</v>
      </c>
      <c r="L312" s="36" t="str">
        <f t="shared" si="25"/>
        <v>P5S1A06</v>
      </c>
      <c r="M312" s="49">
        <v>5</v>
      </c>
      <c r="N312" s="49">
        <v>1</v>
      </c>
      <c r="O312" s="49">
        <v>1</v>
      </c>
      <c r="P312" s="50" t="s">
        <v>38</v>
      </c>
      <c r="Q312" s="51">
        <v>5872</v>
      </c>
    </row>
    <row r="313" spans="1:17">
      <c r="A313" s="38" t="str">
        <f t="shared" si="24"/>
        <v>P20S1A20</v>
      </c>
      <c r="B313" s="38" t="s">
        <v>130</v>
      </c>
      <c r="C313" s="38">
        <v>20</v>
      </c>
      <c r="D313" s="38">
        <v>1</v>
      </c>
      <c r="E313" s="38">
        <v>20</v>
      </c>
      <c r="F313" s="38">
        <v>13</v>
      </c>
      <c r="L313" s="36" t="str">
        <f t="shared" si="25"/>
        <v>P5S1A07</v>
      </c>
      <c r="M313" s="49">
        <v>5</v>
      </c>
      <c r="N313" s="49">
        <v>1</v>
      </c>
      <c r="O313" s="49">
        <v>1</v>
      </c>
      <c r="P313" s="50" t="s">
        <v>39</v>
      </c>
      <c r="Q313" s="51">
        <v>5872</v>
      </c>
    </row>
    <row r="314" spans="1:17">
      <c r="A314" s="38" t="str">
        <f t="shared" si="24"/>
        <v>P20S1A21</v>
      </c>
      <c r="B314" s="38" t="s">
        <v>130</v>
      </c>
      <c r="C314" s="38">
        <v>20</v>
      </c>
      <c r="D314" s="38">
        <v>1</v>
      </c>
      <c r="E314" s="38">
        <v>21</v>
      </c>
      <c r="F314" s="38">
        <v>13</v>
      </c>
      <c r="L314" s="36" t="str">
        <f t="shared" si="25"/>
        <v>P5S1A08</v>
      </c>
      <c r="M314" s="49">
        <v>5</v>
      </c>
      <c r="N314" s="49">
        <v>1</v>
      </c>
      <c r="O314" s="49">
        <v>1</v>
      </c>
      <c r="P314" s="50" t="s">
        <v>40</v>
      </c>
      <c r="Q314" s="51">
        <v>5872</v>
      </c>
    </row>
    <row r="315" spans="1:17">
      <c r="A315" s="38" t="str">
        <f t="shared" si="24"/>
        <v>P20S1A22</v>
      </c>
      <c r="B315" s="38" t="s">
        <v>130</v>
      </c>
      <c r="C315" s="38">
        <v>20</v>
      </c>
      <c r="D315" s="38">
        <v>1</v>
      </c>
      <c r="E315" s="38">
        <v>22</v>
      </c>
      <c r="F315" s="38">
        <v>14</v>
      </c>
      <c r="L315" s="36" t="str">
        <f t="shared" si="25"/>
        <v>P5S1A09</v>
      </c>
      <c r="M315" s="49">
        <v>5</v>
      </c>
      <c r="N315" s="49">
        <v>1</v>
      </c>
      <c r="O315" s="49">
        <v>1</v>
      </c>
      <c r="P315" s="50" t="s">
        <v>41</v>
      </c>
      <c r="Q315" s="51">
        <v>5872</v>
      </c>
    </row>
    <row r="316" spans="1:17">
      <c r="A316" s="38" t="str">
        <f t="shared" si="24"/>
        <v>P20S1A23</v>
      </c>
      <c r="B316" s="38" t="s">
        <v>130</v>
      </c>
      <c r="C316" s="38">
        <v>20</v>
      </c>
      <c r="D316" s="38">
        <v>1</v>
      </c>
      <c r="E316" s="38">
        <v>23</v>
      </c>
      <c r="F316" s="38">
        <v>14</v>
      </c>
      <c r="L316" s="36" t="str">
        <f t="shared" si="25"/>
        <v>P5S1A10</v>
      </c>
      <c r="M316" s="49">
        <v>5</v>
      </c>
      <c r="N316" s="49">
        <v>1</v>
      </c>
      <c r="O316" s="49">
        <v>1</v>
      </c>
      <c r="P316" s="50" t="s">
        <v>42</v>
      </c>
      <c r="Q316" s="51">
        <v>5872</v>
      </c>
    </row>
    <row r="317" spans="1:17">
      <c r="A317" s="38" t="str">
        <f t="shared" si="24"/>
        <v>P20S1A24</v>
      </c>
      <c r="B317" s="38" t="s">
        <v>130</v>
      </c>
      <c r="C317" s="38">
        <v>20</v>
      </c>
      <c r="D317" s="38">
        <v>1</v>
      </c>
      <c r="E317" s="38">
        <v>24</v>
      </c>
      <c r="F317" s="38">
        <v>15</v>
      </c>
      <c r="L317" s="36" t="str">
        <f t="shared" si="25"/>
        <v>P5S1A11</v>
      </c>
      <c r="M317" s="49">
        <v>5</v>
      </c>
      <c r="N317" s="49">
        <v>1</v>
      </c>
      <c r="O317" s="49">
        <v>1</v>
      </c>
      <c r="P317" s="50" t="s">
        <v>43</v>
      </c>
      <c r="Q317" s="51">
        <v>5872</v>
      </c>
    </row>
    <row r="318" spans="1:17">
      <c r="A318" s="38" t="str">
        <f t="shared" si="24"/>
        <v>P20S1A25</v>
      </c>
      <c r="B318" s="38" t="s">
        <v>130</v>
      </c>
      <c r="C318" s="38">
        <v>20</v>
      </c>
      <c r="D318" s="38">
        <v>1</v>
      </c>
      <c r="E318" s="38">
        <v>25</v>
      </c>
      <c r="F318" s="38">
        <v>15</v>
      </c>
      <c r="L318" s="36" t="str">
        <f t="shared" si="25"/>
        <v>P5S1A12</v>
      </c>
      <c r="M318" s="49">
        <v>5</v>
      </c>
      <c r="N318" s="49">
        <v>1</v>
      </c>
      <c r="O318" s="49">
        <v>1</v>
      </c>
      <c r="P318" s="50" t="s">
        <v>44</v>
      </c>
      <c r="Q318" s="51">
        <v>5872</v>
      </c>
    </row>
    <row r="319" spans="1:17">
      <c r="A319" s="38" t="str">
        <f t="shared" si="24"/>
        <v>P20S1A26</v>
      </c>
      <c r="B319" s="38" t="s">
        <v>130</v>
      </c>
      <c r="C319" s="38">
        <v>20</v>
      </c>
      <c r="D319" s="38">
        <v>1</v>
      </c>
      <c r="E319" s="38">
        <v>26</v>
      </c>
      <c r="F319" s="38">
        <v>17</v>
      </c>
      <c r="L319" s="36" t="str">
        <f t="shared" si="25"/>
        <v>P5S1A13</v>
      </c>
      <c r="M319" s="49">
        <v>5</v>
      </c>
      <c r="N319" s="49">
        <v>1</v>
      </c>
      <c r="O319" s="49">
        <v>1</v>
      </c>
      <c r="P319" s="50" t="s">
        <v>45</v>
      </c>
      <c r="Q319" s="51">
        <v>5872</v>
      </c>
    </row>
    <row r="320" spans="1:17">
      <c r="A320" s="38" t="str">
        <f t="shared" si="24"/>
        <v>P20S1A27</v>
      </c>
      <c r="B320" s="38" t="s">
        <v>130</v>
      </c>
      <c r="C320" s="38">
        <v>20</v>
      </c>
      <c r="D320" s="38">
        <v>1</v>
      </c>
      <c r="E320" s="38">
        <v>27</v>
      </c>
      <c r="F320" s="38">
        <v>17</v>
      </c>
      <c r="L320" s="36" t="str">
        <f t="shared" si="25"/>
        <v>P5S1A14</v>
      </c>
      <c r="M320" s="49">
        <v>5</v>
      </c>
      <c r="N320" s="49">
        <v>1</v>
      </c>
      <c r="O320" s="49">
        <v>1</v>
      </c>
      <c r="P320" s="50" t="s">
        <v>46</v>
      </c>
      <c r="Q320" s="51">
        <v>5872</v>
      </c>
    </row>
    <row r="321" spans="1:17">
      <c r="A321" s="38" t="str">
        <f t="shared" si="24"/>
        <v>P20S1A28</v>
      </c>
      <c r="B321" s="38" t="s">
        <v>130</v>
      </c>
      <c r="C321" s="38">
        <v>20</v>
      </c>
      <c r="D321" s="38">
        <v>1</v>
      </c>
      <c r="E321" s="38">
        <v>28</v>
      </c>
      <c r="F321" s="38">
        <v>18</v>
      </c>
      <c r="L321" s="36" t="str">
        <f t="shared" si="25"/>
        <v>P5S1A15</v>
      </c>
      <c r="M321" s="49">
        <v>5</v>
      </c>
      <c r="N321" s="49">
        <v>1</v>
      </c>
      <c r="O321" s="49">
        <v>1</v>
      </c>
      <c r="P321" s="50" t="s">
        <v>47</v>
      </c>
      <c r="Q321" s="51">
        <v>3157</v>
      </c>
    </row>
    <row r="322" spans="1:17">
      <c r="A322" s="38" t="str">
        <f t="shared" ref="A322:A385" si="26">"P"&amp;REPT("0",2-LEN(C322))&amp;C322&amp;"S"&amp;D322&amp;"A"&amp;REPT("0",2-LEN(E322))&amp;E322</f>
        <v>P20S1A29</v>
      </c>
      <c r="B322" s="38" t="s">
        <v>130</v>
      </c>
      <c r="C322" s="38">
        <v>20</v>
      </c>
      <c r="D322" s="38">
        <v>1</v>
      </c>
      <c r="E322" s="38">
        <v>29</v>
      </c>
      <c r="F322" s="38">
        <v>20</v>
      </c>
      <c r="L322" s="36" t="str">
        <f t="shared" ref="L322:L385" si="27">"P"&amp;M322&amp;"S"&amp;O322&amp;"A"&amp;REPT("0",2-LEN(P322))&amp;P322</f>
        <v>P5S1A16</v>
      </c>
      <c r="M322" s="49">
        <v>5</v>
      </c>
      <c r="N322" s="49">
        <v>1</v>
      </c>
      <c r="O322" s="49">
        <v>1</v>
      </c>
      <c r="P322" s="50" t="s">
        <v>48</v>
      </c>
      <c r="Q322" s="51">
        <v>3157</v>
      </c>
    </row>
    <row r="323" spans="1:17">
      <c r="A323" s="38" t="str">
        <f t="shared" si="26"/>
        <v>P20S1A30</v>
      </c>
      <c r="B323" s="38" t="s">
        <v>130</v>
      </c>
      <c r="C323" s="38">
        <v>20</v>
      </c>
      <c r="D323" s="38">
        <v>1</v>
      </c>
      <c r="E323" s="38">
        <v>30</v>
      </c>
      <c r="F323" s="38">
        <v>22</v>
      </c>
      <c r="L323" s="36" t="str">
        <f t="shared" si="27"/>
        <v>P5S1A17</v>
      </c>
      <c r="M323" s="49">
        <v>5</v>
      </c>
      <c r="N323" s="49">
        <v>1</v>
      </c>
      <c r="O323" s="49">
        <v>1</v>
      </c>
      <c r="P323" s="50" t="s">
        <v>49</v>
      </c>
      <c r="Q323" s="51">
        <v>3157</v>
      </c>
    </row>
    <row r="324" spans="1:17">
      <c r="A324" s="38" t="str">
        <f t="shared" si="26"/>
        <v>P20S1A31</v>
      </c>
      <c r="B324" s="38" t="s">
        <v>130</v>
      </c>
      <c r="C324" s="38">
        <v>20</v>
      </c>
      <c r="D324" s="38">
        <v>1</v>
      </c>
      <c r="E324" s="38">
        <v>31</v>
      </c>
      <c r="F324" s="38">
        <v>23</v>
      </c>
      <c r="L324" s="36" t="str">
        <f t="shared" si="27"/>
        <v>P5S1A18</v>
      </c>
      <c r="M324" s="49">
        <v>5</v>
      </c>
      <c r="N324" s="49">
        <v>1</v>
      </c>
      <c r="O324" s="49">
        <v>1</v>
      </c>
      <c r="P324" s="50" t="s">
        <v>50</v>
      </c>
      <c r="Q324" s="51">
        <v>3157</v>
      </c>
    </row>
    <row r="325" spans="1:17">
      <c r="A325" s="38" t="str">
        <f t="shared" si="26"/>
        <v>P20S1A32</v>
      </c>
      <c r="B325" s="38" t="s">
        <v>130</v>
      </c>
      <c r="C325" s="38">
        <v>20</v>
      </c>
      <c r="D325" s="38">
        <v>1</v>
      </c>
      <c r="E325" s="38">
        <v>32</v>
      </c>
      <c r="F325" s="38">
        <v>25</v>
      </c>
      <c r="L325" s="36" t="str">
        <f t="shared" si="27"/>
        <v>P5S1A19</v>
      </c>
      <c r="M325" s="49">
        <v>5</v>
      </c>
      <c r="N325" s="49">
        <v>1</v>
      </c>
      <c r="O325" s="49">
        <v>1</v>
      </c>
      <c r="P325" s="50" t="s">
        <v>51</v>
      </c>
      <c r="Q325" s="51">
        <v>3157</v>
      </c>
    </row>
    <row r="326" spans="1:17">
      <c r="A326" s="38" t="str">
        <f t="shared" si="26"/>
        <v>P20S1A33</v>
      </c>
      <c r="B326" s="38" t="s">
        <v>130</v>
      </c>
      <c r="C326" s="38">
        <v>20</v>
      </c>
      <c r="D326" s="38">
        <v>1</v>
      </c>
      <c r="E326" s="38">
        <v>33</v>
      </c>
      <c r="F326" s="38">
        <v>26</v>
      </c>
      <c r="L326" s="36" t="str">
        <f t="shared" si="27"/>
        <v>P5S1A20</v>
      </c>
      <c r="M326" s="49">
        <v>5</v>
      </c>
      <c r="N326" s="49">
        <v>1</v>
      </c>
      <c r="O326" s="49">
        <v>1</v>
      </c>
      <c r="P326" s="50" t="s">
        <v>52</v>
      </c>
      <c r="Q326" s="51">
        <v>3773</v>
      </c>
    </row>
    <row r="327" spans="1:17">
      <c r="A327" s="38" t="str">
        <f t="shared" si="26"/>
        <v>P20S1A34</v>
      </c>
      <c r="B327" s="38" t="s">
        <v>130</v>
      </c>
      <c r="C327" s="38">
        <v>20</v>
      </c>
      <c r="D327" s="38">
        <v>1</v>
      </c>
      <c r="E327" s="38">
        <v>34</v>
      </c>
      <c r="F327" s="38">
        <v>28</v>
      </c>
      <c r="L327" s="36" t="str">
        <f t="shared" si="27"/>
        <v>P5S1A21</v>
      </c>
      <c r="M327" s="49">
        <v>5</v>
      </c>
      <c r="N327" s="49">
        <v>1</v>
      </c>
      <c r="O327" s="49">
        <v>1</v>
      </c>
      <c r="P327" s="50" t="s">
        <v>53</v>
      </c>
      <c r="Q327" s="51">
        <v>3773</v>
      </c>
    </row>
    <row r="328" spans="1:17">
      <c r="A328" s="38" t="str">
        <f t="shared" si="26"/>
        <v>P20S1A35</v>
      </c>
      <c r="B328" s="38" t="s">
        <v>130</v>
      </c>
      <c r="C328" s="38">
        <v>20</v>
      </c>
      <c r="D328" s="38">
        <v>1</v>
      </c>
      <c r="E328" s="38">
        <v>35</v>
      </c>
      <c r="F328" s="38">
        <v>31</v>
      </c>
      <c r="L328" s="36" t="str">
        <f t="shared" si="27"/>
        <v>P5S1A22</v>
      </c>
      <c r="M328" s="49">
        <v>5</v>
      </c>
      <c r="N328" s="49">
        <v>1</v>
      </c>
      <c r="O328" s="49">
        <v>1</v>
      </c>
      <c r="P328" s="50" t="s">
        <v>54</v>
      </c>
      <c r="Q328" s="51">
        <v>3773</v>
      </c>
    </row>
    <row r="329" spans="1:17">
      <c r="A329" s="38" t="str">
        <f t="shared" si="26"/>
        <v>P20S1A36</v>
      </c>
      <c r="B329" s="38" t="s">
        <v>130</v>
      </c>
      <c r="C329" s="38">
        <v>20</v>
      </c>
      <c r="D329" s="38">
        <v>1</v>
      </c>
      <c r="E329" s="38">
        <v>36</v>
      </c>
      <c r="F329" s="38">
        <v>34</v>
      </c>
      <c r="L329" s="36" t="str">
        <f t="shared" si="27"/>
        <v>P5S1A23</v>
      </c>
      <c r="M329" s="49">
        <v>5</v>
      </c>
      <c r="N329" s="49">
        <v>1</v>
      </c>
      <c r="O329" s="49">
        <v>1</v>
      </c>
      <c r="P329" s="50" t="s">
        <v>55</v>
      </c>
      <c r="Q329" s="51">
        <v>3773</v>
      </c>
    </row>
    <row r="330" spans="1:17">
      <c r="A330" s="38" t="str">
        <f t="shared" si="26"/>
        <v>P20S1A37</v>
      </c>
      <c r="B330" s="38" t="s">
        <v>130</v>
      </c>
      <c r="C330" s="38">
        <v>20</v>
      </c>
      <c r="D330" s="38">
        <v>1</v>
      </c>
      <c r="E330" s="38">
        <v>37</v>
      </c>
      <c r="F330" s="38">
        <v>36</v>
      </c>
      <c r="L330" s="36" t="str">
        <f t="shared" si="27"/>
        <v>P5S1A24</v>
      </c>
      <c r="M330" s="49">
        <v>5</v>
      </c>
      <c r="N330" s="49">
        <v>1</v>
      </c>
      <c r="O330" s="49">
        <v>1</v>
      </c>
      <c r="P330" s="50" t="s">
        <v>56</v>
      </c>
      <c r="Q330" s="51">
        <v>3773</v>
      </c>
    </row>
    <row r="331" spans="1:17">
      <c r="A331" s="38" t="str">
        <f t="shared" si="26"/>
        <v>P20S1A38</v>
      </c>
      <c r="B331" s="38" t="s">
        <v>130</v>
      </c>
      <c r="C331" s="38">
        <v>20</v>
      </c>
      <c r="D331" s="38">
        <v>1</v>
      </c>
      <c r="E331" s="38">
        <v>38</v>
      </c>
      <c r="F331" s="38">
        <v>39</v>
      </c>
      <c r="L331" s="36" t="str">
        <f t="shared" si="27"/>
        <v>P5S1A25</v>
      </c>
      <c r="M331" s="49">
        <v>5</v>
      </c>
      <c r="N331" s="49">
        <v>1</v>
      </c>
      <c r="O331" s="49">
        <v>1</v>
      </c>
      <c r="P331" s="50" t="s">
        <v>57</v>
      </c>
      <c r="Q331" s="51">
        <v>3966</v>
      </c>
    </row>
    <row r="332" spans="1:17">
      <c r="A332" s="38" t="str">
        <f t="shared" si="26"/>
        <v>P20S1A39</v>
      </c>
      <c r="B332" s="38" t="s">
        <v>130</v>
      </c>
      <c r="C332" s="38">
        <v>20</v>
      </c>
      <c r="D332" s="38">
        <v>1</v>
      </c>
      <c r="E332" s="38">
        <v>39</v>
      </c>
      <c r="F332" s="38">
        <v>43</v>
      </c>
      <c r="L332" s="36" t="str">
        <f t="shared" si="27"/>
        <v>P5S1A26</v>
      </c>
      <c r="M332" s="49">
        <v>5</v>
      </c>
      <c r="N332" s="49">
        <v>1</v>
      </c>
      <c r="O332" s="49">
        <v>1</v>
      </c>
      <c r="P332" s="50" t="s">
        <v>58</v>
      </c>
      <c r="Q332" s="51">
        <v>3966</v>
      </c>
    </row>
    <row r="333" spans="1:17">
      <c r="A333" s="38" t="str">
        <f t="shared" si="26"/>
        <v>P20S1A40</v>
      </c>
      <c r="B333" s="38" t="s">
        <v>130</v>
      </c>
      <c r="C333" s="38">
        <v>20</v>
      </c>
      <c r="D333" s="38">
        <v>1</v>
      </c>
      <c r="E333" s="38">
        <v>40</v>
      </c>
      <c r="F333" s="38">
        <v>47</v>
      </c>
      <c r="L333" s="36" t="str">
        <f t="shared" si="27"/>
        <v>P5S1A27</v>
      </c>
      <c r="M333" s="49">
        <v>5</v>
      </c>
      <c r="N333" s="49">
        <v>1</v>
      </c>
      <c r="O333" s="49">
        <v>1</v>
      </c>
      <c r="P333" s="50" t="s">
        <v>59</v>
      </c>
      <c r="Q333" s="51">
        <v>3966</v>
      </c>
    </row>
    <row r="334" spans="1:17">
      <c r="A334" s="38" t="str">
        <f t="shared" si="26"/>
        <v>P20S1A41</v>
      </c>
      <c r="B334" s="38" t="s">
        <v>130</v>
      </c>
      <c r="C334" s="38">
        <v>20</v>
      </c>
      <c r="D334" s="38">
        <v>1</v>
      </c>
      <c r="E334" s="38">
        <v>41</v>
      </c>
      <c r="F334" s="38">
        <v>51</v>
      </c>
      <c r="L334" s="36" t="str">
        <f t="shared" si="27"/>
        <v>P5S1A28</v>
      </c>
      <c r="M334" s="49">
        <v>5</v>
      </c>
      <c r="N334" s="49">
        <v>1</v>
      </c>
      <c r="O334" s="49">
        <v>1</v>
      </c>
      <c r="P334" s="50" t="s">
        <v>60</v>
      </c>
      <c r="Q334" s="51">
        <v>3966</v>
      </c>
    </row>
    <row r="335" spans="1:17">
      <c r="A335" s="38" t="str">
        <f t="shared" si="26"/>
        <v>P20S1A42</v>
      </c>
      <c r="B335" s="38" t="s">
        <v>130</v>
      </c>
      <c r="C335" s="38">
        <v>20</v>
      </c>
      <c r="D335" s="38">
        <v>1</v>
      </c>
      <c r="E335" s="38">
        <v>42</v>
      </c>
      <c r="F335" s="38">
        <v>55</v>
      </c>
      <c r="L335" s="36" t="str">
        <f t="shared" si="27"/>
        <v>P5S1A29</v>
      </c>
      <c r="M335" s="49">
        <v>5</v>
      </c>
      <c r="N335" s="49">
        <v>1</v>
      </c>
      <c r="O335" s="49">
        <v>1</v>
      </c>
      <c r="P335" s="50" t="s">
        <v>61</v>
      </c>
      <c r="Q335" s="51">
        <v>3966</v>
      </c>
    </row>
    <row r="336" spans="1:17">
      <c r="A336" s="38" t="str">
        <f t="shared" si="26"/>
        <v>P20S1A43</v>
      </c>
      <c r="B336" s="38" t="s">
        <v>130</v>
      </c>
      <c r="C336" s="38">
        <v>20</v>
      </c>
      <c r="D336" s="38">
        <v>1</v>
      </c>
      <c r="E336" s="38">
        <v>43</v>
      </c>
      <c r="F336" s="38">
        <v>60</v>
      </c>
      <c r="L336" s="36" t="str">
        <f t="shared" si="27"/>
        <v>P5S1A30</v>
      </c>
      <c r="M336" s="49">
        <v>5</v>
      </c>
      <c r="N336" s="49">
        <v>1</v>
      </c>
      <c r="O336" s="49">
        <v>1</v>
      </c>
      <c r="P336" s="50" t="s">
        <v>62</v>
      </c>
      <c r="Q336" s="51">
        <v>5080</v>
      </c>
    </row>
    <row r="337" spans="1:17">
      <c r="A337" s="38" t="str">
        <f t="shared" si="26"/>
        <v>P20S1A44</v>
      </c>
      <c r="B337" s="38" t="s">
        <v>130</v>
      </c>
      <c r="C337" s="38">
        <v>20</v>
      </c>
      <c r="D337" s="38">
        <v>1</v>
      </c>
      <c r="E337" s="38">
        <v>44</v>
      </c>
      <c r="F337" s="38">
        <v>63</v>
      </c>
      <c r="L337" s="36" t="str">
        <f t="shared" si="27"/>
        <v>P5S1A31</v>
      </c>
      <c r="M337" s="49">
        <v>5</v>
      </c>
      <c r="N337" s="49">
        <v>1</v>
      </c>
      <c r="O337" s="49">
        <v>1</v>
      </c>
      <c r="P337" s="50" t="s">
        <v>63</v>
      </c>
      <c r="Q337" s="51">
        <v>5080</v>
      </c>
    </row>
    <row r="338" spans="1:17">
      <c r="A338" s="38" t="str">
        <f t="shared" si="26"/>
        <v>P20S1A45</v>
      </c>
      <c r="B338" s="38" t="s">
        <v>130</v>
      </c>
      <c r="C338" s="38">
        <v>20</v>
      </c>
      <c r="D338" s="38">
        <v>1</v>
      </c>
      <c r="E338" s="38">
        <v>45</v>
      </c>
      <c r="F338" s="38">
        <v>67</v>
      </c>
      <c r="L338" s="36" t="str">
        <f t="shared" si="27"/>
        <v>P5S1A32</v>
      </c>
      <c r="M338" s="49">
        <v>5</v>
      </c>
      <c r="N338" s="49">
        <v>1</v>
      </c>
      <c r="O338" s="49">
        <v>1</v>
      </c>
      <c r="P338" s="50" t="s">
        <v>64</v>
      </c>
      <c r="Q338" s="51">
        <v>5080</v>
      </c>
    </row>
    <row r="339" spans="1:17">
      <c r="A339" s="38" t="str">
        <f t="shared" si="26"/>
        <v>P20S1A46</v>
      </c>
      <c r="B339" s="38" t="s">
        <v>130</v>
      </c>
      <c r="C339" s="38">
        <v>20</v>
      </c>
      <c r="D339" s="38">
        <v>1</v>
      </c>
      <c r="E339" s="38">
        <v>46</v>
      </c>
      <c r="F339" s="38">
        <v>73</v>
      </c>
      <c r="L339" s="36" t="str">
        <f t="shared" si="27"/>
        <v>P5S1A33</v>
      </c>
      <c r="M339" s="49">
        <v>5</v>
      </c>
      <c r="N339" s="49">
        <v>1</v>
      </c>
      <c r="O339" s="49">
        <v>1</v>
      </c>
      <c r="P339" s="50" t="s">
        <v>65</v>
      </c>
      <c r="Q339" s="51">
        <v>5080</v>
      </c>
    </row>
    <row r="340" spans="1:17">
      <c r="A340" s="38" t="str">
        <f t="shared" si="26"/>
        <v>P20S1A47</v>
      </c>
      <c r="B340" s="38" t="s">
        <v>130</v>
      </c>
      <c r="C340" s="38">
        <v>20</v>
      </c>
      <c r="D340" s="38">
        <v>1</v>
      </c>
      <c r="E340" s="38">
        <v>47</v>
      </c>
      <c r="F340" s="38">
        <v>78</v>
      </c>
      <c r="L340" s="36" t="str">
        <f t="shared" si="27"/>
        <v>P5S1A34</v>
      </c>
      <c r="M340" s="49">
        <v>5</v>
      </c>
      <c r="N340" s="49">
        <v>1</v>
      </c>
      <c r="O340" s="49">
        <v>1</v>
      </c>
      <c r="P340" s="50" t="s">
        <v>66</v>
      </c>
      <c r="Q340" s="51">
        <v>5080</v>
      </c>
    </row>
    <row r="341" spans="1:17">
      <c r="A341" s="38" t="str">
        <f t="shared" si="26"/>
        <v>P20S1A48</v>
      </c>
      <c r="B341" s="38" t="s">
        <v>130</v>
      </c>
      <c r="C341" s="38">
        <v>20</v>
      </c>
      <c r="D341" s="38">
        <v>1</v>
      </c>
      <c r="E341" s="38">
        <v>48</v>
      </c>
      <c r="F341" s="38">
        <v>85</v>
      </c>
      <c r="L341" s="36" t="str">
        <f t="shared" si="27"/>
        <v>P5S1A35</v>
      </c>
      <c r="M341" s="49">
        <v>5</v>
      </c>
      <c r="N341" s="49">
        <v>1</v>
      </c>
      <c r="O341" s="49">
        <v>1</v>
      </c>
      <c r="P341" s="50" t="s">
        <v>67</v>
      </c>
      <c r="Q341" s="51">
        <v>7018</v>
      </c>
    </row>
    <row r="342" spans="1:17">
      <c r="A342" s="38" t="str">
        <f t="shared" si="26"/>
        <v>P20S1A49</v>
      </c>
      <c r="B342" s="38" t="s">
        <v>130</v>
      </c>
      <c r="C342" s="38">
        <v>20</v>
      </c>
      <c r="D342" s="38">
        <v>1</v>
      </c>
      <c r="E342" s="38">
        <v>49</v>
      </c>
      <c r="F342" s="38">
        <v>92</v>
      </c>
      <c r="L342" s="36" t="str">
        <f t="shared" si="27"/>
        <v>P5S1A36</v>
      </c>
      <c r="M342" s="49">
        <v>5</v>
      </c>
      <c r="N342" s="49">
        <v>1</v>
      </c>
      <c r="O342" s="49">
        <v>1</v>
      </c>
      <c r="P342" s="50" t="s">
        <v>68</v>
      </c>
      <c r="Q342" s="51">
        <v>7018</v>
      </c>
    </row>
    <row r="343" spans="1:17">
      <c r="A343" s="38" t="str">
        <f t="shared" si="26"/>
        <v>P20S1A50</v>
      </c>
      <c r="B343" s="38" t="s">
        <v>130</v>
      </c>
      <c r="C343" s="38">
        <v>20</v>
      </c>
      <c r="D343" s="38">
        <v>1</v>
      </c>
      <c r="E343" s="38">
        <v>50</v>
      </c>
      <c r="F343" s="38">
        <v>104</v>
      </c>
      <c r="L343" s="36" t="str">
        <f t="shared" si="27"/>
        <v>P5S1A37</v>
      </c>
      <c r="M343" s="49">
        <v>5</v>
      </c>
      <c r="N343" s="49">
        <v>1</v>
      </c>
      <c r="O343" s="49">
        <v>1</v>
      </c>
      <c r="P343" s="50" t="s">
        <v>69</v>
      </c>
      <c r="Q343" s="51">
        <v>7018</v>
      </c>
    </row>
    <row r="344" spans="1:17">
      <c r="A344" s="38" t="str">
        <f t="shared" si="26"/>
        <v>P20S1A51</v>
      </c>
      <c r="B344" s="38" t="s">
        <v>130</v>
      </c>
      <c r="C344" s="38">
        <v>20</v>
      </c>
      <c r="D344" s="38">
        <v>1</v>
      </c>
      <c r="E344" s="38">
        <v>51</v>
      </c>
      <c r="F344" s="38">
        <v>114</v>
      </c>
      <c r="L344" s="36" t="str">
        <f t="shared" si="27"/>
        <v>P5S1A38</v>
      </c>
      <c r="M344" s="49">
        <v>5</v>
      </c>
      <c r="N344" s="49">
        <v>1</v>
      </c>
      <c r="O344" s="49">
        <v>1</v>
      </c>
      <c r="P344" s="50" t="s">
        <v>70</v>
      </c>
      <c r="Q344" s="51">
        <v>7018</v>
      </c>
    </row>
    <row r="345" spans="1:17">
      <c r="A345" s="38" t="str">
        <f t="shared" si="26"/>
        <v>P20S1A52</v>
      </c>
      <c r="B345" s="38" t="s">
        <v>130</v>
      </c>
      <c r="C345" s="38">
        <v>20</v>
      </c>
      <c r="D345" s="38">
        <v>1</v>
      </c>
      <c r="E345" s="38">
        <v>52</v>
      </c>
      <c r="F345" s="38">
        <v>125</v>
      </c>
      <c r="L345" s="36" t="str">
        <f t="shared" si="27"/>
        <v>P5S1A39</v>
      </c>
      <c r="M345" s="49">
        <v>5</v>
      </c>
      <c r="N345" s="49">
        <v>1</v>
      </c>
      <c r="O345" s="49">
        <v>1</v>
      </c>
      <c r="P345" s="50" t="s">
        <v>71</v>
      </c>
      <c r="Q345" s="51">
        <v>7018</v>
      </c>
    </row>
    <row r="346" spans="1:17">
      <c r="A346" s="38" t="str">
        <f t="shared" si="26"/>
        <v>P20S1A53</v>
      </c>
      <c r="B346" s="38" t="s">
        <v>130</v>
      </c>
      <c r="C346" s="38">
        <v>20</v>
      </c>
      <c r="D346" s="38">
        <v>1</v>
      </c>
      <c r="E346" s="38">
        <v>53</v>
      </c>
      <c r="F346" s="38">
        <v>137</v>
      </c>
      <c r="L346" s="36" t="str">
        <f t="shared" si="27"/>
        <v>P5S1A40</v>
      </c>
      <c r="M346" s="49">
        <v>5</v>
      </c>
      <c r="N346" s="49">
        <v>1</v>
      </c>
      <c r="O346" s="49">
        <v>1</v>
      </c>
      <c r="P346" s="50" t="s">
        <v>72</v>
      </c>
      <c r="Q346" s="51">
        <v>8921</v>
      </c>
    </row>
    <row r="347" spans="1:17">
      <c r="A347" s="38" t="str">
        <f t="shared" si="26"/>
        <v>P20S1A54</v>
      </c>
      <c r="B347" s="38" t="s">
        <v>130</v>
      </c>
      <c r="C347" s="38">
        <v>20</v>
      </c>
      <c r="D347" s="38">
        <v>1</v>
      </c>
      <c r="E347" s="38">
        <v>54</v>
      </c>
      <c r="F347" s="38">
        <v>149</v>
      </c>
      <c r="L347" s="36" t="str">
        <f t="shared" si="27"/>
        <v>P5S1A41</v>
      </c>
      <c r="M347" s="49">
        <v>5</v>
      </c>
      <c r="N347" s="49">
        <v>1</v>
      </c>
      <c r="O347" s="49">
        <v>1</v>
      </c>
      <c r="P347" s="50" t="s">
        <v>73</v>
      </c>
      <c r="Q347" s="51">
        <v>8921</v>
      </c>
    </row>
    <row r="348" spans="1:17">
      <c r="A348" s="38" t="str">
        <f t="shared" si="26"/>
        <v>P20S1A55</v>
      </c>
      <c r="B348" s="38" t="s">
        <v>130</v>
      </c>
      <c r="C348" s="38">
        <v>20</v>
      </c>
      <c r="D348" s="38">
        <v>1</v>
      </c>
      <c r="E348" s="38">
        <v>55</v>
      </c>
      <c r="F348" s="38">
        <v>163</v>
      </c>
      <c r="L348" s="36" t="str">
        <f t="shared" si="27"/>
        <v>P5S1A42</v>
      </c>
      <c r="M348" s="49">
        <v>5</v>
      </c>
      <c r="N348" s="49">
        <v>1</v>
      </c>
      <c r="O348" s="49">
        <v>1</v>
      </c>
      <c r="P348" s="50" t="s">
        <v>74</v>
      </c>
      <c r="Q348" s="51">
        <v>8921</v>
      </c>
    </row>
    <row r="349" spans="1:17">
      <c r="A349" s="38" t="str">
        <f t="shared" si="26"/>
        <v>P20S1A56</v>
      </c>
      <c r="B349" s="38" t="s">
        <v>130</v>
      </c>
      <c r="C349" s="38">
        <v>20</v>
      </c>
      <c r="D349" s="38">
        <v>1</v>
      </c>
      <c r="E349" s="38">
        <v>56</v>
      </c>
      <c r="F349" s="38">
        <v>178</v>
      </c>
      <c r="L349" s="36" t="str">
        <f t="shared" si="27"/>
        <v>P5S1A43</v>
      </c>
      <c r="M349" s="49">
        <v>5</v>
      </c>
      <c r="N349" s="49">
        <v>1</v>
      </c>
      <c r="O349" s="49">
        <v>1</v>
      </c>
      <c r="P349" s="50" t="s">
        <v>75</v>
      </c>
      <c r="Q349" s="51">
        <v>8921</v>
      </c>
    </row>
    <row r="350" spans="1:17">
      <c r="A350" s="38" t="str">
        <f t="shared" si="26"/>
        <v>P20S1A57</v>
      </c>
      <c r="B350" s="38" t="s">
        <v>130</v>
      </c>
      <c r="C350" s="38">
        <v>20</v>
      </c>
      <c r="D350" s="38">
        <v>1</v>
      </c>
      <c r="E350" s="38">
        <v>57</v>
      </c>
      <c r="F350" s="38">
        <v>194</v>
      </c>
      <c r="L350" s="36" t="str">
        <f t="shared" si="27"/>
        <v>P5S1A44</v>
      </c>
      <c r="M350" s="49">
        <v>5</v>
      </c>
      <c r="N350" s="49">
        <v>1</v>
      </c>
      <c r="O350" s="49">
        <v>1</v>
      </c>
      <c r="P350" s="50" t="s">
        <v>76</v>
      </c>
      <c r="Q350" s="51">
        <v>8921</v>
      </c>
    </row>
    <row r="351" spans="1:17">
      <c r="A351" s="38" t="str">
        <f t="shared" si="26"/>
        <v>P20S1A58</v>
      </c>
      <c r="B351" s="38" t="s">
        <v>130</v>
      </c>
      <c r="C351" s="38">
        <v>20</v>
      </c>
      <c r="D351" s="38">
        <v>1</v>
      </c>
      <c r="E351" s="38">
        <v>58</v>
      </c>
      <c r="F351" s="38">
        <v>212</v>
      </c>
      <c r="L351" s="36" t="str">
        <f t="shared" si="27"/>
        <v>P5S1A45</v>
      </c>
      <c r="M351" s="49">
        <v>5</v>
      </c>
      <c r="N351" s="49">
        <v>1</v>
      </c>
      <c r="O351" s="49">
        <v>1</v>
      </c>
      <c r="P351" s="50" t="s">
        <v>77</v>
      </c>
      <c r="Q351" s="51">
        <v>10867</v>
      </c>
    </row>
    <row r="352" spans="1:17">
      <c r="A352" s="38" t="str">
        <f t="shared" si="26"/>
        <v>P20S1A59</v>
      </c>
      <c r="B352" s="38" t="s">
        <v>130</v>
      </c>
      <c r="C352" s="38">
        <v>20</v>
      </c>
      <c r="D352" s="38">
        <v>1</v>
      </c>
      <c r="E352" s="38">
        <v>59</v>
      </c>
      <c r="F352" s="38">
        <v>231</v>
      </c>
      <c r="L352" s="36" t="str">
        <f t="shared" si="27"/>
        <v>P5S1A46</v>
      </c>
      <c r="M352" s="49">
        <v>5</v>
      </c>
      <c r="N352" s="49">
        <v>1</v>
      </c>
      <c r="O352" s="49">
        <v>1</v>
      </c>
      <c r="P352" s="50" t="s">
        <v>78</v>
      </c>
      <c r="Q352" s="51">
        <v>10867</v>
      </c>
    </row>
    <row r="353" spans="1:17">
      <c r="A353" s="38" t="str">
        <f t="shared" si="26"/>
        <v>P20S1A60</v>
      </c>
      <c r="B353" s="38" t="s">
        <v>130</v>
      </c>
      <c r="C353" s="38">
        <v>20</v>
      </c>
      <c r="D353" s="38">
        <v>1</v>
      </c>
      <c r="E353" s="38">
        <v>60</v>
      </c>
      <c r="F353" s="38">
        <v>252</v>
      </c>
      <c r="L353" s="36" t="str">
        <f t="shared" si="27"/>
        <v>P5S1A47</v>
      </c>
      <c r="M353" s="49">
        <v>5</v>
      </c>
      <c r="N353" s="49">
        <v>1</v>
      </c>
      <c r="O353" s="49">
        <v>1</v>
      </c>
      <c r="P353" s="50" t="s">
        <v>79</v>
      </c>
      <c r="Q353" s="51">
        <v>10867</v>
      </c>
    </row>
    <row r="354" spans="1:17">
      <c r="A354" s="38" t="str">
        <f t="shared" si="26"/>
        <v>P20S2A15</v>
      </c>
      <c r="B354" s="38" t="s">
        <v>130</v>
      </c>
      <c r="C354" s="38">
        <v>20</v>
      </c>
      <c r="D354" s="38">
        <v>2</v>
      </c>
      <c r="E354" s="38">
        <v>15</v>
      </c>
      <c r="F354" s="38">
        <v>4</v>
      </c>
      <c r="L354" s="36" t="str">
        <f t="shared" si="27"/>
        <v>P5S1A48</v>
      </c>
      <c r="M354" s="49">
        <v>5</v>
      </c>
      <c r="N354" s="49">
        <v>1</v>
      </c>
      <c r="O354" s="49">
        <v>1</v>
      </c>
      <c r="P354" s="50" t="s">
        <v>80</v>
      </c>
      <c r="Q354" s="51">
        <v>10867</v>
      </c>
    </row>
    <row r="355" spans="1:17">
      <c r="A355" s="38" t="str">
        <f t="shared" si="26"/>
        <v>P20S2A16</v>
      </c>
      <c r="B355" s="38" t="s">
        <v>130</v>
      </c>
      <c r="C355" s="38">
        <v>20</v>
      </c>
      <c r="D355" s="38">
        <v>2</v>
      </c>
      <c r="E355" s="38">
        <v>16</v>
      </c>
      <c r="F355" s="38">
        <v>5</v>
      </c>
      <c r="L355" s="36" t="str">
        <f t="shared" si="27"/>
        <v>P5S1A49</v>
      </c>
      <c r="M355" s="49">
        <v>5</v>
      </c>
      <c r="N355" s="49">
        <v>1</v>
      </c>
      <c r="O355" s="49">
        <v>1</v>
      </c>
      <c r="P355" s="50" t="s">
        <v>81</v>
      </c>
      <c r="Q355" s="51">
        <v>10867</v>
      </c>
    </row>
    <row r="356" spans="1:17">
      <c r="A356" s="38" t="str">
        <f t="shared" si="26"/>
        <v>P20S2A17</v>
      </c>
      <c r="B356" s="38" t="s">
        <v>130</v>
      </c>
      <c r="C356" s="38">
        <v>20</v>
      </c>
      <c r="D356" s="38">
        <v>2</v>
      </c>
      <c r="E356" s="38">
        <v>17</v>
      </c>
      <c r="F356" s="38">
        <v>5</v>
      </c>
      <c r="L356" s="36" t="str">
        <f t="shared" si="27"/>
        <v>P5S1A50</v>
      </c>
      <c r="M356" s="49">
        <v>5</v>
      </c>
      <c r="N356" s="49">
        <v>1</v>
      </c>
      <c r="O356" s="49">
        <v>1</v>
      </c>
      <c r="P356" s="50" t="s">
        <v>82</v>
      </c>
      <c r="Q356" s="51">
        <v>13113</v>
      </c>
    </row>
    <row r="357" spans="1:17">
      <c r="A357" s="38" t="str">
        <f t="shared" si="26"/>
        <v>P20S2A18</v>
      </c>
      <c r="B357" s="38" t="s">
        <v>130</v>
      </c>
      <c r="C357" s="38">
        <v>20</v>
      </c>
      <c r="D357" s="38">
        <v>2</v>
      </c>
      <c r="E357" s="38">
        <v>18</v>
      </c>
      <c r="F357" s="38">
        <v>6</v>
      </c>
      <c r="L357" s="36" t="str">
        <f t="shared" si="27"/>
        <v>P5S1A51</v>
      </c>
      <c r="M357" s="49">
        <v>5</v>
      </c>
      <c r="N357" s="49">
        <v>1</v>
      </c>
      <c r="O357" s="49">
        <v>1</v>
      </c>
      <c r="P357" s="50" t="s">
        <v>83</v>
      </c>
      <c r="Q357" s="51">
        <v>13113</v>
      </c>
    </row>
    <row r="358" spans="1:17">
      <c r="A358" s="38" t="str">
        <f t="shared" si="26"/>
        <v>P20S2A19</v>
      </c>
      <c r="B358" s="38" t="s">
        <v>130</v>
      </c>
      <c r="C358" s="38">
        <v>20</v>
      </c>
      <c r="D358" s="38">
        <v>2</v>
      </c>
      <c r="E358" s="38">
        <v>19</v>
      </c>
      <c r="F358" s="38">
        <v>6</v>
      </c>
      <c r="L358" s="36" t="str">
        <f t="shared" si="27"/>
        <v>P5S1A52</v>
      </c>
      <c r="M358" s="49">
        <v>5</v>
      </c>
      <c r="N358" s="49">
        <v>1</v>
      </c>
      <c r="O358" s="49">
        <v>1</v>
      </c>
      <c r="P358" s="50" t="s">
        <v>84</v>
      </c>
      <c r="Q358" s="51">
        <v>13113</v>
      </c>
    </row>
    <row r="359" spans="1:17">
      <c r="A359" s="38" t="str">
        <f t="shared" si="26"/>
        <v>P20S2A20</v>
      </c>
      <c r="B359" s="38" t="s">
        <v>130</v>
      </c>
      <c r="C359" s="38">
        <v>20</v>
      </c>
      <c r="D359" s="38">
        <v>2</v>
      </c>
      <c r="E359" s="38">
        <v>20</v>
      </c>
      <c r="F359" s="38">
        <v>6</v>
      </c>
      <c r="L359" s="36" t="str">
        <f t="shared" si="27"/>
        <v>P5S1A53</v>
      </c>
      <c r="M359" s="49">
        <v>5</v>
      </c>
      <c r="N359" s="49">
        <v>1</v>
      </c>
      <c r="O359" s="49">
        <v>1</v>
      </c>
      <c r="P359" s="50" t="s">
        <v>85</v>
      </c>
      <c r="Q359" s="51">
        <v>13113</v>
      </c>
    </row>
    <row r="360" spans="1:17">
      <c r="A360" s="38" t="str">
        <f t="shared" si="26"/>
        <v>P20S2A21</v>
      </c>
      <c r="B360" s="38" t="s">
        <v>130</v>
      </c>
      <c r="C360" s="38">
        <v>20</v>
      </c>
      <c r="D360" s="38">
        <v>2</v>
      </c>
      <c r="E360" s="38">
        <v>21</v>
      </c>
      <c r="F360" s="38">
        <v>6</v>
      </c>
      <c r="L360" s="36" t="str">
        <f t="shared" si="27"/>
        <v>P5S1A54</v>
      </c>
      <c r="M360" s="49">
        <v>5</v>
      </c>
      <c r="N360" s="49">
        <v>1</v>
      </c>
      <c r="O360" s="49">
        <v>1</v>
      </c>
      <c r="P360" s="50" t="s">
        <v>86</v>
      </c>
      <c r="Q360" s="51">
        <v>13113</v>
      </c>
    </row>
    <row r="361" spans="1:17">
      <c r="A361" s="38" t="str">
        <f t="shared" si="26"/>
        <v>P20S2A22</v>
      </c>
      <c r="B361" s="38" t="s">
        <v>130</v>
      </c>
      <c r="C361" s="38">
        <v>20</v>
      </c>
      <c r="D361" s="38">
        <v>2</v>
      </c>
      <c r="E361" s="38">
        <v>22</v>
      </c>
      <c r="F361" s="38">
        <v>7</v>
      </c>
      <c r="L361" s="36" t="str">
        <f t="shared" si="27"/>
        <v>P5S1A55</v>
      </c>
      <c r="M361" s="49">
        <v>5</v>
      </c>
      <c r="N361" s="49">
        <v>1</v>
      </c>
      <c r="O361" s="49">
        <v>1</v>
      </c>
      <c r="P361" s="50" t="s">
        <v>87</v>
      </c>
      <c r="Q361" s="51">
        <v>16036</v>
      </c>
    </row>
    <row r="362" spans="1:17">
      <c r="A362" s="38" t="str">
        <f t="shared" si="26"/>
        <v>P20S2A23</v>
      </c>
      <c r="B362" s="38" t="s">
        <v>130</v>
      </c>
      <c r="C362" s="38">
        <v>20</v>
      </c>
      <c r="D362" s="38">
        <v>2</v>
      </c>
      <c r="E362" s="38">
        <v>23</v>
      </c>
      <c r="F362" s="38">
        <v>7</v>
      </c>
      <c r="L362" s="36" t="str">
        <f t="shared" si="27"/>
        <v>P5S1A56</v>
      </c>
      <c r="M362" s="49">
        <v>5</v>
      </c>
      <c r="N362" s="49">
        <v>1</v>
      </c>
      <c r="O362" s="49">
        <v>1</v>
      </c>
      <c r="P362" s="50" t="s">
        <v>88</v>
      </c>
      <c r="Q362" s="51">
        <v>16036</v>
      </c>
    </row>
    <row r="363" spans="1:17">
      <c r="A363" s="38" t="str">
        <f t="shared" si="26"/>
        <v>P20S2A24</v>
      </c>
      <c r="B363" s="38" t="s">
        <v>130</v>
      </c>
      <c r="C363" s="38">
        <v>20</v>
      </c>
      <c r="D363" s="38">
        <v>2</v>
      </c>
      <c r="E363" s="38">
        <v>24</v>
      </c>
      <c r="F363" s="38">
        <v>9</v>
      </c>
      <c r="L363" s="36" t="str">
        <f t="shared" si="27"/>
        <v>P5S1A57</v>
      </c>
      <c r="M363" s="49">
        <v>5</v>
      </c>
      <c r="N363" s="49">
        <v>1</v>
      </c>
      <c r="O363" s="49">
        <v>1</v>
      </c>
      <c r="P363" s="50" t="s">
        <v>89</v>
      </c>
      <c r="Q363" s="51">
        <v>16036</v>
      </c>
    </row>
    <row r="364" spans="1:17">
      <c r="A364" s="38" t="str">
        <f t="shared" si="26"/>
        <v>P20S2A25</v>
      </c>
      <c r="B364" s="38" t="s">
        <v>130</v>
      </c>
      <c r="C364" s="38">
        <v>20</v>
      </c>
      <c r="D364" s="38">
        <v>2</v>
      </c>
      <c r="E364" s="38">
        <v>25</v>
      </c>
      <c r="F364" s="38">
        <v>9</v>
      </c>
      <c r="L364" s="36" t="str">
        <f t="shared" si="27"/>
        <v>P5S1A58</v>
      </c>
      <c r="M364" s="49">
        <v>5</v>
      </c>
      <c r="N364" s="49">
        <v>1</v>
      </c>
      <c r="O364" s="49">
        <v>1</v>
      </c>
      <c r="P364" s="50" t="s">
        <v>90</v>
      </c>
      <c r="Q364" s="51">
        <v>16036</v>
      </c>
    </row>
    <row r="365" spans="1:17">
      <c r="A365" s="38" t="str">
        <f t="shared" si="26"/>
        <v>P20S2A26</v>
      </c>
      <c r="B365" s="38" t="s">
        <v>130</v>
      </c>
      <c r="C365" s="38">
        <v>20</v>
      </c>
      <c r="D365" s="38">
        <v>2</v>
      </c>
      <c r="E365" s="38">
        <v>26</v>
      </c>
      <c r="F365" s="38">
        <v>10</v>
      </c>
      <c r="L365" s="36" t="str">
        <f t="shared" si="27"/>
        <v>P5S1A59</v>
      </c>
      <c r="M365" s="49">
        <v>5</v>
      </c>
      <c r="N365" s="49">
        <v>1</v>
      </c>
      <c r="O365" s="49">
        <v>1</v>
      </c>
      <c r="P365" s="50" t="s">
        <v>91</v>
      </c>
      <c r="Q365" s="51">
        <v>16036</v>
      </c>
    </row>
    <row r="366" spans="1:17">
      <c r="A366" s="38" t="str">
        <f t="shared" si="26"/>
        <v>P20S2A27</v>
      </c>
      <c r="B366" s="38" t="s">
        <v>130</v>
      </c>
      <c r="C366" s="38">
        <v>20</v>
      </c>
      <c r="D366" s="38">
        <v>2</v>
      </c>
      <c r="E366" s="38">
        <v>27</v>
      </c>
      <c r="F366" s="38">
        <v>11</v>
      </c>
      <c r="L366" s="36" t="str">
        <f t="shared" si="27"/>
        <v>P5S1A60</v>
      </c>
      <c r="M366" s="49">
        <v>5</v>
      </c>
      <c r="N366" s="49">
        <v>1</v>
      </c>
      <c r="O366" s="49">
        <v>1</v>
      </c>
      <c r="P366" s="50" t="s">
        <v>92</v>
      </c>
      <c r="Q366" s="51">
        <v>18883</v>
      </c>
    </row>
    <row r="367" spans="1:17">
      <c r="A367" s="38" t="str">
        <f t="shared" si="26"/>
        <v>P20S2A28</v>
      </c>
      <c r="B367" s="38" t="s">
        <v>130</v>
      </c>
      <c r="C367" s="38">
        <v>20</v>
      </c>
      <c r="D367" s="38">
        <v>2</v>
      </c>
      <c r="E367" s="38">
        <v>28</v>
      </c>
      <c r="F367" s="38">
        <v>11</v>
      </c>
      <c r="L367" s="36" t="str">
        <f t="shared" si="27"/>
        <v>P5S1A61</v>
      </c>
      <c r="M367" s="49">
        <v>5</v>
      </c>
      <c r="N367" s="49">
        <v>1</v>
      </c>
      <c r="O367" s="49">
        <v>1</v>
      </c>
      <c r="P367" s="50" t="s">
        <v>93</v>
      </c>
      <c r="Q367" s="51">
        <v>18883</v>
      </c>
    </row>
    <row r="368" spans="1:17">
      <c r="A368" s="38" t="str">
        <f t="shared" si="26"/>
        <v>P20S2A29</v>
      </c>
      <c r="B368" s="38" t="s">
        <v>130</v>
      </c>
      <c r="C368" s="38">
        <v>20</v>
      </c>
      <c r="D368" s="38">
        <v>2</v>
      </c>
      <c r="E368" s="38">
        <v>29</v>
      </c>
      <c r="F368" s="38">
        <v>12</v>
      </c>
      <c r="L368" s="36" t="str">
        <f t="shared" si="27"/>
        <v>P5S1A62</v>
      </c>
      <c r="M368" s="49">
        <v>5</v>
      </c>
      <c r="N368" s="49">
        <v>1</v>
      </c>
      <c r="O368" s="49">
        <v>1</v>
      </c>
      <c r="P368" s="50" t="s">
        <v>94</v>
      </c>
      <c r="Q368" s="51">
        <v>18883</v>
      </c>
    </row>
    <row r="369" spans="1:17">
      <c r="A369" s="38" t="str">
        <f t="shared" si="26"/>
        <v>P20S2A30</v>
      </c>
      <c r="B369" s="38" t="s">
        <v>130</v>
      </c>
      <c r="C369" s="38">
        <v>20</v>
      </c>
      <c r="D369" s="38">
        <v>2</v>
      </c>
      <c r="E369" s="38">
        <v>30</v>
      </c>
      <c r="F369" s="38">
        <v>13</v>
      </c>
      <c r="L369" s="36" t="str">
        <f t="shared" si="27"/>
        <v>P5S1A63</v>
      </c>
      <c r="M369" s="49">
        <v>5</v>
      </c>
      <c r="N369" s="49">
        <v>1</v>
      </c>
      <c r="O369" s="49">
        <v>1</v>
      </c>
      <c r="P369" s="50" t="s">
        <v>95</v>
      </c>
      <c r="Q369" s="51">
        <v>18883</v>
      </c>
    </row>
    <row r="370" spans="1:17">
      <c r="A370" s="38" t="str">
        <f t="shared" si="26"/>
        <v>P20S2A31</v>
      </c>
      <c r="B370" s="38" t="s">
        <v>130</v>
      </c>
      <c r="C370" s="38">
        <v>20</v>
      </c>
      <c r="D370" s="38">
        <v>2</v>
      </c>
      <c r="E370" s="38">
        <v>31</v>
      </c>
      <c r="F370" s="38">
        <v>14</v>
      </c>
      <c r="L370" s="36" t="str">
        <f t="shared" si="27"/>
        <v>P5S1A64</v>
      </c>
      <c r="M370" s="49">
        <v>5</v>
      </c>
      <c r="N370" s="49">
        <v>1</v>
      </c>
      <c r="O370" s="49">
        <v>1</v>
      </c>
      <c r="P370" s="50" t="s">
        <v>96</v>
      </c>
      <c r="Q370" s="51">
        <v>18883</v>
      </c>
    </row>
    <row r="371" spans="1:17">
      <c r="A371" s="38" t="str">
        <f t="shared" si="26"/>
        <v>P20S2A32</v>
      </c>
      <c r="B371" s="38" t="s">
        <v>130</v>
      </c>
      <c r="C371" s="38">
        <v>20</v>
      </c>
      <c r="D371" s="38">
        <v>2</v>
      </c>
      <c r="E371" s="38">
        <v>32</v>
      </c>
      <c r="F371" s="38">
        <v>15</v>
      </c>
      <c r="L371" s="36" t="str">
        <f t="shared" si="27"/>
        <v>P5S1A65</v>
      </c>
      <c r="M371" s="49">
        <v>5</v>
      </c>
      <c r="N371" s="49">
        <v>1</v>
      </c>
      <c r="O371" s="49">
        <v>1</v>
      </c>
      <c r="P371" s="50" t="s">
        <v>97</v>
      </c>
      <c r="Q371" s="51">
        <v>24588</v>
      </c>
    </row>
    <row r="372" spans="1:17">
      <c r="A372" s="38" t="str">
        <f t="shared" si="26"/>
        <v>P20S2A33</v>
      </c>
      <c r="B372" s="38" t="s">
        <v>130</v>
      </c>
      <c r="C372" s="38">
        <v>20</v>
      </c>
      <c r="D372" s="38">
        <v>2</v>
      </c>
      <c r="E372" s="38">
        <v>33</v>
      </c>
      <c r="F372" s="38">
        <v>16</v>
      </c>
      <c r="L372" s="36" t="str">
        <f t="shared" si="27"/>
        <v>P5S1A66</v>
      </c>
      <c r="M372" s="49">
        <v>5</v>
      </c>
      <c r="N372" s="49">
        <v>1</v>
      </c>
      <c r="O372" s="49">
        <v>1</v>
      </c>
      <c r="P372" s="50" t="s">
        <v>98</v>
      </c>
      <c r="Q372" s="51">
        <v>24588</v>
      </c>
    </row>
    <row r="373" spans="1:17">
      <c r="A373" s="38" t="str">
        <f t="shared" si="26"/>
        <v>P20S2A34</v>
      </c>
      <c r="B373" s="38" t="s">
        <v>130</v>
      </c>
      <c r="C373" s="38">
        <v>20</v>
      </c>
      <c r="D373" s="38">
        <v>2</v>
      </c>
      <c r="E373" s="38">
        <v>34</v>
      </c>
      <c r="F373" s="38">
        <v>17</v>
      </c>
      <c r="L373" s="36" t="str">
        <f t="shared" si="27"/>
        <v>P5S1A67</v>
      </c>
      <c r="M373" s="49">
        <v>5</v>
      </c>
      <c r="N373" s="49">
        <v>1</v>
      </c>
      <c r="O373" s="49">
        <v>1</v>
      </c>
      <c r="P373" s="50" t="s">
        <v>99</v>
      </c>
      <c r="Q373" s="51">
        <v>24588</v>
      </c>
    </row>
    <row r="374" spans="1:17">
      <c r="A374" s="38" t="str">
        <f t="shared" si="26"/>
        <v>P20S2A35</v>
      </c>
      <c r="B374" s="38" t="s">
        <v>130</v>
      </c>
      <c r="C374" s="38">
        <v>20</v>
      </c>
      <c r="D374" s="38">
        <v>2</v>
      </c>
      <c r="E374" s="38">
        <v>35</v>
      </c>
      <c r="F374" s="38">
        <v>18</v>
      </c>
      <c r="L374" s="36" t="str">
        <f t="shared" si="27"/>
        <v>P5S1A68</v>
      </c>
      <c r="M374" s="49">
        <v>5</v>
      </c>
      <c r="N374" s="49">
        <v>1</v>
      </c>
      <c r="O374" s="49">
        <v>1</v>
      </c>
      <c r="P374" s="50" t="s">
        <v>100</v>
      </c>
      <c r="Q374" s="51">
        <v>24588</v>
      </c>
    </row>
    <row r="375" spans="1:17">
      <c r="A375" s="38" t="str">
        <f t="shared" si="26"/>
        <v>P20S2A36</v>
      </c>
      <c r="B375" s="38" t="s">
        <v>130</v>
      </c>
      <c r="C375" s="38">
        <v>20</v>
      </c>
      <c r="D375" s="38">
        <v>2</v>
      </c>
      <c r="E375" s="38">
        <v>36</v>
      </c>
      <c r="F375" s="38">
        <v>19</v>
      </c>
      <c r="L375" s="36" t="str">
        <f t="shared" si="27"/>
        <v>P5S1A69</v>
      </c>
      <c r="M375" s="49">
        <v>5</v>
      </c>
      <c r="N375" s="49">
        <v>1</v>
      </c>
      <c r="O375" s="49">
        <v>1</v>
      </c>
      <c r="P375" s="50" t="s">
        <v>101</v>
      </c>
      <c r="Q375" s="51">
        <v>24588</v>
      </c>
    </row>
    <row r="376" spans="1:17">
      <c r="A376" s="38" t="str">
        <f t="shared" si="26"/>
        <v>P20S2A37</v>
      </c>
      <c r="B376" s="38" t="s">
        <v>130</v>
      </c>
      <c r="C376" s="38">
        <v>20</v>
      </c>
      <c r="D376" s="38">
        <v>2</v>
      </c>
      <c r="E376" s="38">
        <v>37</v>
      </c>
      <c r="F376" s="38">
        <v>20</v>
      </c>
      <c r="L376" s="36" t="str">
        <f t="shared" si="27"/>
        <v>P5S1A70</v>
      </c>
      <c r="M376" s="49">
        <v>5</v>
      </c>
      <c r="N376" s="49">
        <v>1</v>
      </c>
      <c r="O376" s="49">
        <v>1</v>
      </c>
      <c r="P376" s="50" t="s">
        <v>102</v>
      </c>
      <c r="Q376" s="51">
        <v>30631</v>
      </c>
    </row>
    <row r="377" spans="1:17">
      <c r="A377" s="38" t="str">
        <f t="shared" si="26"/>
        <v>P20S2A38</v>
      </c>
      <c r="B377" s="38" t="s">
        <v>130</v>
      </c>
      <c r="C377" s="38">
        <v>20</v>
      </c>
      <c r="D377" s="38">
        <v>2</v>
      </c>
      <c r="E377" s="38">
        <v>38</v>
      </c>
      <c r="F377" s="38">
        <v>21</v>
      </c>
      <c r="L377" s="36" t="str">
        <f t="shared" si="27"/>
        <v>P5S1A71</v>
      </c>
      <c r="M377" s="49">
        <v>5</v>
      </c>
      <c r="N377" s="49">
        <v>1</v>
      </c>
      <c r="O377" s="49">
        <v>1</v>
      </c>
      <c r="P377" s="50" t="s">
        <v>103</v>
      </c>
      <c r="Q377" s="51">
        <v>30631</v>
      </c>
    </row>
    <row r="378" spans="1:17">
      <c r="A378" s="38" t="str">
        <f t="shared" si="26"/>
        <v>P20S2A39</v>
      </c>
      <c r="B378" s="38" t="s">
        <v>130</v>
      </c>
      <c r="C378" s="38">
        <v>20</v>
      </c>
      <c r="D378" s="38">
        <v>2</v>
      </c>
      <c r="E378" s="38">
        <v>39</v>
      </c>
      <c r="F378" s="38">
        <v>22</v>
      </c>
      <c r="L378" s="36" t="str">
        <f t="shared" si="27"/>
        <v>P5S1A72</v>
      </c>
      <c r="M378" s="49">
        <v>5</v>
      </c>
      <c r="N378" s="49">
        <v>1</v>
      </c>
      <c r="O378" s="49">
        <v>1</v>
      </c>
      <c r="P378" s="50" t="s">
        <v>104</v>
      </c>
      <c r="Q378" s="51">
        <v>30631</v>
      </c>
    </row>
    <row r="379" spans="1:17">
      <c r="A379" s="38" t="str">
        <f t="shared" si="26"/>
        <v>P20S2A40</v>
      </c>
      <c r="B379" s="38" t="s">
        <v>130</v>
      </c>
      <c r="C379" s="38">
        <v>20</v>
      </c>
      <c r="D379" s="38">
        <v>2</v>
      </c>
      <c r="E379" s="38">
        <v>40</v>
      </c>
      <c r="F379" s="38">
        <v>24</v>
      </c>
      <c r="L379" s="36" t="str">
        <f t="shared" si="27"/>
        <v>P5S1A73</v>
      </c>
      <c r="M379" s="49">
        <v>5</v>
      </c>
      <c r="N379" s="49">
        <v>1</v>
      </c>
      <c r="O379" s="49">
        <v>1</v>
      </c>
      <c r="P379" s="50" t="s">
        <v>105</v>
      </c>
      <c r="Q379" s="51">
        <v>30631</v>
      </c>
    </row>
    <row r="380" spans="1:17">
      <c r="A380" s="38" t="str">
        <f t="shared" si="26"/>
        <v>P20S2A41</v>
      </c>
      <c r="B380" s="38" t="s">
        <v>130</v>
      </c>
      <c r="C380" s="38">
        <v>20</v>
      </c>
      <c r="D380" s="38">
        <v>2</v>
      </c>
      <c r="E380" s="38">
        <v>41</v>
      </c>
      <c r="F380" s="38">
        <v>25</v>
      </c>
      <c r="L380" s="36" t="str">
        <f t="shared" si="27"/>
        <v>P5S1A74</v>
      </c>
      <c r="M380" s="49">
        <v>5</v>
      </c>
      <c r="N380" s="49">
        <v>1</v>
      </c>
      <c r="O380" s="49">
        <v>1</v>
      </c>
      <c r="P380" s="50" t="s">
        <v>106</v>
      </c>
      <c r="Q380" s="51">
        <v>30631</v>
      </c>
    </row>
    <row r="381" spans="1:17">
      <c r="A381" s="38" t="str">
        <f t="shared" si="26"/>
        <v>P20S2A42</v>
      </c>
      <c r="B381" s="38" t="s">
        <v>130</v>
      </c>
      <c r="C381" s="38">
        <v>20</v>
      </c>
      <c r="D381" s="38">
        <v>2</v>
      </c>
      <c r="E381" s="38">
        <v>42</v>
      </c>
      <c r="F381" s="38">
        <v>27</v>
      </c>
      <c r="L381" s="36" t="str">
        <f t="shared" si="27"/>
        <v>P5S1A75</v>
      </c>
      <c r="M381" s="49">
        <v>5</v>
      </c>
      <c r="N381" s="49">
        <v>1</v>
      </c>
      <c r="O381" s="49">
        <v>1</v>
      </c>
      <c r="P381" s="50" t="s">
        <v>107</v>
      </c>
      <c r="Q381" s="51">
        <v>30631</v>
      </c>
    </row>
    <row r="382" spans="1:17">
      <c r="A382" s="38" t="str">
        <f t="shared" si="26"/>
        <v>P20S2A43</v>
      </c>
      <c r="B382" s="38" t="s">
        <v>130</v>
      </c>
      <c r="C382" s="38">
        <v>20</v>
      </c>
      <c r="D382" s="38">
        <v>2</v>
      </c>
      <c r="E382" s="38">
        <v>43</v>
      </c>
      <c r="F382" s="38">
        <v>29</v>
      </c>
      <c r="L382" s="36" t="str">
        <f t="shared" si="27"/>
        <v>P6S1A00</v>
      </c>
      <c r="M382" s="49">
        <v>6</v>
      </c>
      <c r="N382" s="49">
        <v>1</v>
      </c>
      <c r="O382" s="49">
        <v>1</v>
      </c>
      <c r="P382" s="50" t="s">
        <v>32</v>
      </c>
      <c r="Q382" s="51">
        <v>6976</v>
      </c>
    </row>
    <row r="383" spans="1:17">
      <c r="A383" s="38" t="str">
        <f t="shared" si="26"/>
        <v>P20S2A44</v>
      </c>
      <c r="B383" s="38" t="s">
        <v>130</v>
      </c>
      <c r="C383" s="38">
        <v>20</v>
      </c>
      <c r="D383" s="38">
        <v>2</v>
      </c>
      <c r="E383" s="38">
        <v>44</v>
      </c>
      <c r="F383" s="38">
        <v>31</v>
      </c>
      <c r="L383" s="36" t="str">
        <f t="shared" si="27"/>
        <v>P6S1A01</v>
      </c>
      <c r="M383" s="49">
        <v>6</v>
      </c>
      <c r="N383" s="49">
        <v>1</v>
      </c>
      <c r="O383" s="49">
        <v>1</v>
      </c>
      <c r="P383" s="50" t="s">
        <v>33</v>
      </c>
      <c r="Q383" s="51">
        <v>6976</v>
      </c>
    </row>
    <row r="384" spans="1:17">
      <c r="A384" s="38" t="str">
        <f t="shared" si="26"/>
        <v>P20S2A45</v>
      </c>
      <c r="B384" s="38" t="s">
        <v>130</v>
      </c>
      <c r="C384" s="38">
        <v>20</v>
      </c>
      <c r="D384" s="38">
        <v>2</v>
      </c>
      <c r="E384" s="38">
        <v>45</v>
      </c>
      <c r="F384" s="38">
        <v>34</v>
      </c>
      <c r="L384" s="36" t="str">
        <f t="shared" si="27"/>
        <v>P6S1A02</v>
      </c>
      <c r="M384" s="49">
        <v>6</v>
      </c>
      <c r="N384" s="49">
        <v>1</v>
      </c>
      <c r="O384" s="49">
        <v>1</v>
      </c>
      <c r="P384" s="50" t="s">
        <v>34</v>
      </c>
      <c r="Q384" s="51">
        <v>6976</v>
      </c>
    </row>
    <row r="385" spans="1:17">
      <c r="A385" s="38" t="str">
        <f t="shared" si="26"/>
        <v>P20S2A46</v>
      </c>
      <c r="B385" s="38" t="s">
        <v>130</v>
      </c>
      <c r="C385" s="38">
        <v>20</v>
      </c>
      <c r="D385" s="38">
        <v>2</v>
      </c>
      <c r="E385" s="38">
        <v>46</v>
      </c>
      <c r="F385" s="38">
        <v>37</v>
      </c>
      <c r="L385" s="36" t="str">
        <f t="shared" si="27"/>
        <v>P6S1A03</v>
      </c>
      <c r="M385" s="49">
        <v>6</v>
      </c>
      <c r="N385" s="49">
        <v>1</v>
      </c>
      <c r="O385" s="49">
        <v>1</v>
      </c>
      <c r="P385" s="50" t="s">
        <v>35</v>
      </c>
      <c r="Q385" s="51">
        <v>6976</v>
      </c>
    </row>
    <row r="386" spans="1:17">
      <c r="A386" s="38" t="str">
        <f t="shared" ref="A386:A449" si="28">"P"&amp;REPT("0",2-LEN(C386))&amp;C386&amp;"S"&amp;D386&amp;"A"&amp;REPT("0",2-LEN(E386))&amp;E386</f>
        <v>P20S2A47</v>
      </c>
      <c r="B386" s="38" t="s">
        <v>130</v>
      </c>
      <c r="C386" s="38">
        <v>20</v>
      </c>
      <c r="D386" s="38">
        <v>2</v>
      </c>
      <c r="E386" s="38">
        <v>47</v>
      </c>
      <c r="F386" s="38">
        <v>41</v>
      </c>
      <c r="L386" s="36" t="str">
        <f t="shared" ref="L386:L449" si="29">"P"&amp;M386&amp;"S"&amp;O386&amp;"A"&amp;REPT("0",2-LEN(P386))&amp;P386</f>
        <v>P6S1A04</v>
      </c>
      <c r="M386" s="49">
        <v>6</v>
      </c>
      <c r="N386" s="49">
        <v>1</v>
      </c>
      <c r="O386" s="49">
        <v>1</v>
      </c>
      <c r="P386" s="50" t="s">
        <v>36</v>
      </c>
      <c r="Q386" s="51">
        <v>6976</v>
      </c>
    </row>
    <row r="387" spans="1:17">
      <c r="A387" s="38" t="str">
        <f t="shared" si="28"/>
        <v>P20S2A48</v>
      </c>
      <c r="B387" s="38" t="s">
        <v>130</v>
      </c>
      <c r="C387" s="38">
        <v>20</v>
      </c>
      <c r="D387" s="38">
        <v>2</v>
      </c>
      <c r="E387" s="38">
        <v>48</v>
      </c>
      <c r="F387" s="38">
        <v>44</v>
      </c>
      <c r="L387" s="36" t="str">
        <f t="shared" si="29"/>
        <v>P6S1A05</v>
      </c>
      <c r="M387" s="49">
        <v>6</v>
      </c>
      <c r="N387" s="49">
        <v>1</v>
      </c>
      <c r="O387" s="49">
        <v>1</v>
      </c>
      <c r="P387" s="50" t="s">
        <v>37</v>
      </c>
      <c r="Q387" s="51">
        <v>6976</v>
      </c>
    </row>
    <row r="388" spans="1:17">
      <c r="A388" s="38" t="str">
        <f t="shared" si="28"/>
        <v>P20S2A49</v>
      </c>
      <c r="B388" s="38" t="s">
        <v>130</v>
      </c>
      <c r="C388" s="38">
        <v>20</v>
      </c>
      <c r="D388" s="38">
        <v>2</v>
      </c>
      <c r="E388" s="38">
        <v>49</v>
      </c>
      <c r="F388" s="38">
        <v>48</v>
      </c>
      <c r="L388" s="36" t="str">
        <f t="shared" si="29"/>
        <v>P6S1A06</v>
      </c>
      <c r="M388" s="49">
        <v>6</v>
      </c>
      <c r="N388" s="49">
        <v>1</v>
      </c>
      <c r="O388" s="49">
        <v>1</v>
      </c>
      <c r="P388" s="50" t="s">
        <v>38</v>
      </c>
      <c r="Q388" s="51">
        <v>6976</v>
      </c>
    </row>
    <row r="389" spans="1:17">
      <c r="A389" s="38" t="str">
        <f t="shared" si="28"/>
        <v>P20S2A50</v>
      </c>
      <c r="B389" s="38" t="s">
        <v>130</v>
      </c>
      <c r="C389" s="38">
        <v>20</v>
      </c>
      <c r="D389" s="38">
        <v>2</v>
      </c>
      <c r="E389" s="38">
        <v>50</v>
      </c>
      <c r="F389" s="38">
        <v>53</v>
      </c>
      <c r="L389" s="36" t="str">
        <f t="shared" si="29"/>
        <v>P6S1A07</v>
      </c>
      <c r="M389" s="49">
        <v>6</v>
      </c>
      <c r="N389" s="49">
        <v>1</v>
      </c>
      <c r="O389" s="49">
        <v>1</v>
      </c>
      <c r="P389" s="50" t="s">
        <v>39</v>
      </c>
      <c r="Q389" s="51">
        <v>6976</v>
      </c>
    </row>
    <row r="390" spans="1:17">
      <c r="A390" s="38" t="str">
        <f t="shared" si="28"/>
        <v>P20S2A51</v>
      </c>
      <c r="B390" s="38" t="s">
        <v>130</v>
      </c>
      <c r="C390" s="38">
        <v>20</v>
      </c>
      <c r="D390" s="38">
        <v>2</v>
      </c>
      <c r="E390" s="38">
        <v>51</v>
      </c>
      <c r="F390" s="38">
        <v>58</v>
      </c>
      <c r="L390" s="36" t="str">
        <f t="shared" si="29"/>
        <v>P6S1A08</v>
      </c>
      <c r="M390" s="49">
        <v>6</v>
      </c>
      <c r="N390" s="49">
        <v>1</v>
      </c>
      <c r="O390" s="49">
        <v>1</v>
      </c>
      <c r="P390" s="50" t="s">
        <v>40</v>
      </c>
      <c r="Q390" s="51">
        <v>6976</v>
      </c>
    </row>
    <row r="391" spans="1:17">
      <c r="A391" s="38" t="str">
        <f t="shared" si="28"/>
        <v>P20S2A52</v>
      </c>
      <c r="B391" s="38" t="s">
        <v>130</v>
      </c>
      <c r="C391" s="38">
        <v>20</v>
      </c>
      <c r="D391" s="38">
        <v>2</v>
      </c>
      <c r="E391" s="38">
        <v>52</v>
      </c>
      <c r="F391" s="38">
        <v>64</v>
      </c>
      <c r="L391" s="36" t="str">
        <f t="shared" si="29"/>
        <v>P6S1A09</v>
      </c>
      <c r="M391" s="49">
        <v>6</v>
      </c>
      <c r="N391" s="49">
        <v>1</v>
      </c>
      <c r="O391" s="49">
        <v>1</v>
      </c>
      <c r="P391" s="50" t="s">
        <v>41</v>
      </c>
      <c r="Q391" s="51">
        <v>6976</v>
      </c>
    </row>
    <row r="392" spans="1:17">
      <c r="A392" s="38" t="str">
        <f t="shared" si="28"/>
        <v>P20S2A53</v>
      </c>
      <c r="B392" s="38" t="s">
        <v>130</v>
      </c>
      <c r="C392" s="38">
        <v>20</v>
      </c>
      <c r="D392" s="38">
        <v>2</v>
      </c>
      <c r="E392" s="38">
        <v>53</v>
      </c>
      <c r="F392" s="38">
        <v>71</v>
      </c>
      <c r="L392" s="36" t="str">
        <f t="shared" si="29"/>
        <v>P6S1A10</v>
      </c>
      <c r="M392" s="49">
        <v>6</v>
      </c>
      <c r="N392" s="49">
        <v>1</v>
      </c>
      <c r="O392" s="49">
        <v>1</v>
      </c>
      <c r="P392" s="50" t="s">
        <v>42</v>
      </c>
      <c r="Q392" s="51">
        <v>6976</v>
      </c>
    </row>
    <row r="393" spans="1:17">
      <c r="A393" s="38" t="str">
        <f t="shared" si="28"/>
        <v>P20S2A54</v>
      </c>
      <c r="B393" s="38" t="s">
        <v>130</v>
      </c>
      <c r="C393" s="38">
        <v>20</v>
      </c>
      <c r="D393" s="38">
        <v>2</v>
      </c>
      <c r="E393" s="38">
        <v>54</v>
      </c>
      <c r="F393" s="38">
        <v>78</v>
      </c>
      <c r="L393" s="36" t="str">
        <f t="shared" si="29"/>
        <v>P6S1A11</v>
      </c>
      <c r="M393" s="49">
        <v>6</v>
      </c>
      <c r="N393" s="49">
        <v>1</v>
      </c>
      <c r="O393" s="49">
        <v>1</v>
      </c>
      <c r="P393" s="50" t="s">
        <v>43</v>
      </c>
      <c r="Q393" s="51">
        <v>6976</v>
      </c>
    </row>
    <row r="394" spans="1:17">
      <c r="A394" s="38" t="str">
        <f t="shared" si="28"/>
        <v>P20S2A55</v>
      </c>
      <c r="B394" s="38" t="s">
        <v>130</v>
      </c>
      <c r="C394" s="38">
        <v>20</v>
      </c>
      <c r="D394" s="38">
        <v>2</v>
      </c>
      <c r="E394" s="38">
        <v>55</v>
      </c>
      <c r="F394" s="38">
        <v>86</v>
      </c>
      <c r="L394" s="36" t="str">
        <f t="shared" si="29"/>
        <v>P6S1A12</v>
      </c>
      <c r="M394" s="49">
        <v>6</v>
      </c>
      <c r="N394" s="49">
        <v>1</v>
      </c>
      <c r="O394" s="49">
        <v>1</v>
      </c>
      <c r="P394" s="50" t="s">
        <v>44</v>
      </c>
      <c r="Q394" s="51">
        <v>6976</v>
      </c>
    </row>
    <row r="395" spans="1:17">
      <c r="A395" s="38" t="str">
        <f t="shared" si="28"/>
        <v>P20S2A56</v>
      </c>
      <c r="B395" s="38" t="s">
        <v>130</v>
      </c>
      <c r="C395" s="38">
        <v>20</v>
      </c>
      <c r="D395" s="38">
        <v>2</v>
      </c>
      <c r="E395" s="38">
        <v>56</v>
      </c>
      <c r="F395" s="38">
        <v>94</v>
      </c>
      <c r="L395" s="36" t="str">
        <f t="shared" si="29"/>
        <v>P6S1A13</v>
      </c>
      <c r="M395" s="49">
        <v>6</v>
      </c>
      <c r="N395" s="49">
        <v>1</v>
      </c>
      <c r="O395" s="49">
        <v>1</v>
      </c>
      <c r="P395" s="50" t="s">
        <v>45</v>
      </c>
      <c r="Q395" s="51">
        <v>6976</v>
      </c>
    </row>
    <row r="396" spans="1:17">
      <c r="A396" s="38" t="str">
        <f t="shared" si="28"/>
        <v>P20S2A57</v>
      </c>
      <c r="B396" s="38" t="s">
        <v>130</v>
      </c>
      <c r="C396" s="38">
        <v>20</v>
      </c>
      <c r="D396" s="38">
        <v>2</v>
      </c>
      <c r="E396" s="38">
        <v>57</v>
      </c>
      <c r="F396" s="38">
        <v>104</v>
      </c>
      <c r="L396" s="36" t="str">
        <f t="shared" si="29"/>
        <v>P6S1A14</v>
      </c>
      <c r="M396" s="49">
        <v>6</v>
      </c>
      <c r="N396" s="49">
        <v>1</v>
      </c>
      <c r="O396" s="49">
        <v>1</v>
      </c>
      <c r="P396" s="50" t="s">
        <v>46</v>
      </c>
      <c r="Q396" s="51">
        <v>6976</v>
      </c>
    </row>
    <row r="397" spans="1:17">
      <c r="A397" s="38" t="str">
        <f t="shared" si="28"/>
        <v>P20S2A58</v>
      </c>
      <c r="B397" s="38" t="s">
        <v>130</v>
      </c>
      <c r="C397" s="38">
        <v>20</v>
      </c>
      <c r="D397" s="38">
        <v>2</v>
      </c>
      <c r="E397" s="38">
        <v>58</v>
      </c>
      <c r="F397" s="38">
        <v>114</v>
      </c>
      <c r="L397" s="36" t="str">
        <f t="shared" si="29"/>
        <v>P6S1A15</v>
      </c>
      <c r="M397" s="49">
        <v>6</v>
      </c>
      <c r="N397" s="49">
        <v>1</v>
      </c>
      <c r="O397" s="49">
        <v>1</v>
      </c>
      <c r="P397" s="50" t="s">
        <v>47</v>
      </c>
      <c r="Q397" s="51">
        <v>3751</v>
      </c>
    </row>
    <row r="398" spans="1:17">
      <c r="A398" s="38" t="str">
        <f t="shared" si="28"/>
        <v>P20S2A59</v>
      </c>
      <c r="B398" s="38" t="s">
        <v>130</v>
      </c>
      <c r="C398" s="38">
        <v>20</v>
      </c>
      <c r="D398" s="38">
        <v>2</v>
      </c>
      <c r="E398" s="38">
        <v>59</v>
      </c>
      <c r="F398" s="38">
        <v>126</v>
      </c>
      <c r="L398" s="36" t="str">
        <f t="shared" si="29"/>
        <v>P6S1A16</v>
      </c>
      <c r="M398" s="49">
        <v>6</v>
      </c>
      <c r="N398" s="49">
        <v>1</v>
      </c>
      <c r="O398" s="49">
        <v>1</v>
      </c>
      <c r="P398" s="50" t="s">
        <v>48</v>
      </c>
      <c r="Q398" s="51">
        <v>3751</v>
      </c>
    </row>
    <row r="399" spans="1:17">
      <c r="A399" s="38" t="str">
        <f t="shared" si="28"/>
        <v>P20S2A60</v>
      </c>
      <c r="B399" s="38" t="s">
        <v>130</v>
      </c>
      <c r="C399" s="38">
        <v>20</v>
      </c>
      <c r="D399" s="38">
        <v>2</v>
      </c>
      <c r="E399" s="38">
        <v>60</v>
      </c>
      <c r="F399" s="38">
        <v>138</v>
      </c>
      <c r="L399" s="36" t="str">
        <f t="shared" si="29"/>
        <v>P6S1A17</v>
      </c>
      <c r="M399" s="49">
        <v>6</v>
      </c>
      <c r="N399" s="49">
        <v>1</v>
      </c>
      <c r="O399" s="49">
        <v>1</v>
      </c>
      <c r="P399" s="50" t="s">
        <v>49</v>
      </c>
      <c r="Q399" s="51">
        <v>3751</v>
      </c>
    </row>
    <row r="400" spans="1:17">
      <c r="A400" s="38" t="str">
        <f t="shared" si="28"/>
        <v>P00SA00</v>
      </c>
      <c r="L400" s="36" t="str">
        <f t="shared" si="29"/>
        <v>P6S1A18</v>
      </c>
      <c r="M400" s="49">
        <v>6</v>
      </c>
      <c r="N400" s="49">
        <v>1</v>
      </c>
      <c r="O400" s="49">
        <v>1</v>
      </c>
      <c r="P400" s="50" t="s">
        <v>50</v>
      </c>
      <c r="Q400" s="51">
        <v>3751</v>
      </c>
    </row>
    <row r="401" spans="1:17">
      <c r="A401" s="38" t="str">
        <f t="shared" si="28"/>
        <v>P00SA00</v>
      </c>
      <c r="L401" s="36" t="str">
        <f t="shared" si="29"/>
        <v>P6S1A19</v>
      </c>
      <c r="M401" s="49">
        <v>6</v>
      </c>
      <c r="N401" s="49">
        <v>1</v>
      </c>
      <c r="O401" s="49">
        <v>1</v>
      </c>
      <c r="P401" s="50" t="s">
        <v>51</v>
      </c>
      <c r="Q401" s="51">
        <v>3751</v>
      </c>
    </row>
    <row r="402" spans="1:17">
      <c r="A402" s="38" t="str">
        <f t="shared" si="28"/>
        <v>P00SA00</v>
      </c>
      <c r="L402" s="36" t="str">
        <f t="shared" si="29"/>
        <v>P6S1A20</v>
      </c>
      <c r="M402" s="49">
        <v>6</v>
      </c>
      <c r="N402" s="49">
        <v>1</v>
      </c>
      <c r="O402" s="49">
        <v>1</v>
      </c>
      <c r="P402" s="50" t="s">
        <v>52</v>
      </c>
      <c r="Q402" s="51">
        <v>4482</v>
      </c>
    </row>
    <row r="403" spans="1:17">
      <c r="A403" s="38" t="str">
        <f t="shared" si="28"/>
        <v>P00SA00</v>
      </c>
      <c r="L403" s="36" t="str">
        <f t="shared" si="29"/>
        <v>P6S1A21</v>
      </c>
      <c r="M403" s="49">
        <v>6</v>
      </c>
      <c r="N403" s="49">
        <v>1</v>
      </c>
      <c r="O403" s="49">
        <v>1</v>
      </c>
      <c r="P403" s="50" t="s">
        <v>53</v>
      </c>
      <c r="Q403" s="51">
        <v>4482</v>
      </c>
    </row>
    <row r="404" spans="1:17">
      <c r="A404" s="38" t="str">
        <f t="shared" si="28"/>
        <v>P00SA00</v>
      </c>
      <c r="L404" s="36" t="str">
        <f t="shared" si="29"/>
        <v>P6S1A22</v>
      </c>
      <c r="M404" s="49">
        <v>6</v>
      </c>
      <c r="N404" s="49">
        <v>1</v>
      </c>
      <c r="O404" s="49">
        <v>1</v>
      </c>
      <c r="P404" s="50" t="s">
        <v>54</v>
      </c>
      <c r="Q404" s="51">
        <v>4482</v>
      </c>
    </row>
    <row r="405" spans="1:17">
      <c r="A405" s="38" t="str">
        <f t="shared" si="28"/>
        <v>P00SA00</v>
      </c>
      <c r="L405" s="36" t="str">
        <f t="shared" si="29"/>
        <v>P6S1A23</v>
      </c>
      <c r="M405" s="49">
        <v>6</v>
      </c>
      <c r="N405" s="49">
        <v>1</v>
      </c>
      <c r="O405" s="49">
        <v>1</v>
      </c>
      <c r="P405" s="50" t="s">
        <v>55</v>
      </c>
      <c r="Q405" s="51">
        <v>4482</v>
      </c>
    </row>
    <row r="406" spans="1:17">
      <c r="A406" s="38" t="str">
        <f t="shared" si="28"/>
        <v>P00SA00</v>
      </c>
      <c r="L406" s="36" t="str">
        <f t="shared" si="29"/>
        <v>P6S1A24</v>
      </c>
      <c r="M406" s="49">
        <v>6</v>
      </c>
      <c r="N406" s="49">
        <v>1</v>
      </c>
      <c r="O406" s="49">
        <v>1</v>
      </c>
      <c r="P406" s="50" t="s">
        <v>56</v>
      </c>
      <c r="Q406" s="51">
        <v>4482</v>
      </c>
    </row>
    <row r="407" spans="1:17">
      <c r="A407" s="38" t="str">
        <f t="shared" si="28"/>
        <v>P00SA00</v>
      </c>
      <c r="L407" s="36" t="str">
        <f t="shared" si="29"/>
        <v>P6S1A25</v>
      </c>
      <c r="M407" s="49">
        <v>6</v>
      </c>
      <c r="N407" s="49">
        <v>1</v>
      </c>
      <c r="O407" s="49">
        <v>1</v>
      </c>
      <c r="P407" s="50" t="s">
        <v>57</v>
      </c>
      <c r="Q407" s="51">
        <v>4712</v>
      </c>
    </row>
    <row r="408" spans="1:17">
      <c r="A408" s="38" t="str">
        <f t="shared" si="28"/>
        <v>P00SA00</v>
      </c>
      <c r="L408" s="36" t="str">
        <f t="shared" si="29"/>
        <v>P6S1A26</v>
      </c>
      <c r="M408" s="49">
        <v>6</v>
      </c>
      <c r="N408" s="49">
        <v>1</v>
      </c>
      <c r="O408" s="49">
        <v>1</v>
      </c>
      <c r="P408" s="50" t="s">
        <v>58</v>
      </c>
      <c r="Q408" s="51">
        <v>4712</v>
      </c>
    </row>
    <row r="409" spans="1:17">
      <c r="A409" s="38" t="str">
        <f t="shared" si="28"/>
        <v>P00SA00</v>
      </c>
      <c r="L409" s="36" t="str">
        <f t="shared" si="29"/>
        <v>P6S1A27</v>
      </c>
      <c r="M409" s="49">
        <v>6</v>
      </c>
      <c r="N409" s="49">
        <v>1</v>
      </c>
      <c r="O409" s="49">
        <v>1</v>
      </c>
      <c r="P409" s="50" t="s">
        <v>59</v>
      </c>
      <c r="Q409" s="51">
        <v>4712</v>
      </c>
    </row>
    <row r="410" spans="1:17">
      <c r="A410" s="38" t="str">
        <f t="shared" si="28"/>
        <v>P00SA00</v>
      </c>
      <c r="L410" s="36" t="str">
        <f t="shared" si="29"/>
        <v>P6S1A28</v>
      </c>
      <c r="M410" s="49">
        <v>6</v>
      </c>
      <c r="N410" s="49">
        <v>1</v>
      </c>
      <c r="O410" s="49">
        <v>1</v>
      </c>
      <c r="P410" s="50" t="s">
        <v>60</v>
      </c>
      <c r="Q410" s="51">
        <v>4712</v>
      </c>
    </row>
    <row r="411" spans="1:17">
      <c r="A411" s="38" t="str">
        <f t="shared" si="28"/>
        <v>P00SA00</v>
      </c>
      <c r="L411" s="36" t="str">
        <f t="shared" si="29"/>
        <v>P6S1A29</v>
      </c>
      <c r="M411" s="49">
        <v>6</v>
      </c>
      <c r="N411" s="49">
        <v>1</v>
      </c>
      <c r="O411" s="49">
        <v>1</v>
      </c>
      <c r="P411" s="50" t="s">
        <v>61</v>
      </c>
      <c r="Q411" s="51">
        <v>4712</v>
      </c>
    </row>
    <row r="412" spans="1:17">
      <c r="A412" s="38" t="str">
        <f t="shared" si="28"/>
        <v>P00SA00</v>
      </c>
      <c r="L412" s="36" t="str">
        <f t="shared" si="29"/>
        <v>P6S1A30</v>
      </c>
      <c r="M412" s="49">
        <v>6</v>
      </c>
      <c r="N412" s="49">
        <v>1</v>
      </c>
      <c r="O412" s="49">
        <v>1</v>
      </c>
      <c r="P412" s="50" t="s">
        <v>62</v>
      </c>
      <c r="Q412" s="51">
        <v>6035</v>
      </c>
    </row>
    <row r="413" spans="1:17">
      <c r="A413" s="38" t="str">
        <f t="shared" si="28"/>
        <v>P00SA00</v>
      </c>
      <c r="L413" s="36" t="str">
        <f t="shared" si="29"/>
        <v>P6S1A31</v>
      </c>
      <c r="M413" s="49">
        <v>6</v>
      </c>
      <c r="N413" s="49">
        <v>1</v>
      </c>
      <c r="O413" s="49">
        <v>1</v>
      </c>
      <c r="P413" s="50" t="s">
        <v>63</v>
      </c>
      <c r="Q413" s="51">
        <v>6035</v>
      </c>
    </row>
    <row r="414" spans="1:17">
      <c r="A414" s="38" t="str">
        <f t="shared" si="28"/>
        <v>P00SA00</v>
      </c>
      <c r="L414" s="36" t="str">
        <f t="shared" si="29"/>
        <v>P6S1A32</v>
      </c>
      <c r="M414" s="49">
        <v>6</v>
      </c>
      <c r="N414" s="49">
        <v>1</v>
      </c>
      <c r="O414" s="49">
        <v>1</v>
      </c>
      <c r="P414" s="50" t="s">
        <v>64</v>
      </c>
      <c r="Q414" s="51">
        <v>6035</v>
      </c>
    </row>
    <row r="415" spans="1:17">
      <c r="A415" s="38" t="str">
        <f t="shared" si="28"/>
        <v>P00SA00</v>
      </c>
      <c r="L415" s="36" t="str">
        <f t="shared" si="29"/>
        <v>P6S1A33</v>
      </c>
      <c r="M415" s="49">
        <v>6</v>
      </c>
      <c r="N415" s="49">
        <v>1</v>
      </c>
      <c r="O415" s="49">
        <v>1</v>
      </c>
      <c r="P415" s="50" t="s">
        <v>65</v>
      </c>
      <c r="Q415" s="51">
        <v>6035</v>
      </c>
    </row>
    <row r="416" spans="1:17">
      <c r="A416" s="38" t="str">
        <f t="shared" si="28"/>
        <v>P00SA00</v>
      </c>
      <c r="L416" s="36" t="str">
        <f t="shared" si="29"/>
        <v>P6S1A34</v>
      </c>
      <c r="M416" s="49">
        <v>6</v>
      </c>
      <c r="N416" s="49">
        <v>1</v>
      </c>
      <c r="O416" s="49">
        <v>1</v>
      </c>
      <c r="P416" s="50" t="s">
        <v>66</v>
      </c>
      <c r="Q416" s="51">
        <v>6035</v>
      </c>
    </row>
    <row r="417" spans="1:17">
      <c r="A417" s="38" t="str">
        <f t="shared" si="28"/>
        <v>P00SA00</v>
      </c>
      <c r="L417" s="36" t="str">
        <f t="shared" si="29"/>
        <v>P6S1A35</v>
      </c>
      <c r="M417" s="49">
        <v>6</v>
      </c>
      <c r="N417" s="49">
        <v>1</v>
      </c>
      <c r="O417" s="49">
        <v>1</v>
      </c>
      <c r="P417" s="50" t="s">
        <v>67</v>
      </c>
      <c r="Q417" s="51">
        <v>8337</v>
      </c>
    </row>
    <row r="418" spans="1:17">
      <c r="A418" s="38" t="str">
        <f t="shared" si="28"/>
        <v>P00SA00</v>
      </c>
      <c r="L418" s="36" t="str">
        <f t="shared" si="29"/>
        <v>P6S1A36</v>
      </c>
      <c r="M418" s="49">
        <v>6</v>
      </c>
      <c r="N418" s="49">
        <v>1</v>
      </c>
      <c r="O418" s="49">
        <v>1</v>
      </c>
      <c r="P418" s="50" t="s">
        <v>68</v>
      </c>
      <c r="Q418" s="51">
        <v>8337</v>
      </c>
    </row>
    <row r="419" spans="1:17">
      <c r="A419" s="38" t="str">
        <f t="shared" si="28"/>
        <v>P00SA00</v>
      </c>
      <c r="L419" s="36" t="str">
        <f t="shared" si="29"/>
        <v>P6S1A37</v>
      </c>
      <c r="M419" s="49">
        <v>6</v>
      </c>
      <c r="N419" s="49">
        <v>1</v>
      </c>
      <c r="O419" s="49">
        <v>1</v>
      </c>
      <c r="P419" s="50" t="s">
        <v>69</v>
      </c>
      <c r="Q419" s="51">
        <v>8337</v>
      </c>
    </row>
    <row r="420" spans="1:17">
      <c r="A420" s="38" t="str">
        <f t="shared" si="28"/>
        <v>P00SA00</v>
      </c>
      <c r="L420" s="36" t="str">
        <f t="shared" si="29"/>
        <v>P6S1A38</v>
      </c>
      <c r="M420" s="49">
        <v>6</v>
      </c>
      <c r="N420" s="49">
        <v>1</v>
      </c>
      <c r="O420" s="49">
        <v>1</v>
      </c>
      <c r="P420" s="50" t="s">
        <v>70</v>
      </c>
      <c r="Q420" s="51">
        <v>8337</v>
      </c>
    </row>
    <row r="421" spans="1:17">
      <c r="A421" s="38" t="str">
        <f t="shared" si="28"/>
        <v>P00SA00</v>
      </c>
      <c r="L421" s="36" t="str">
        <f t="shared" si="29"/>
        <v>P6S1A39</v>
      </c>
      <c r="M421" s="49">
        <v>6</v>
      </c>
      <c r="N421" s="49">
        <v>1</v>
      </c>
      <c r="O421" s="49">
        <v>1</v>
      </c>
      <c r="P421" s="50" t="s">
        <v>71</v>
      </c>
      <c r="Q421" s="51">
        <v>8337</v>
      </c>
    </row>
    <row r="422" spans="1:17">
      <c r="A422" s="38" t="str">
        <f t="shared" si="28"/>
        <v>P00SA00</v>
      </c>
      <c r="L422" s="36" t="str">
        <f t="shared" si="29"/>
        <v>P6S1A40</v>
      </c>
      <c r="M422" s="49">
        <v>6</v>
      </c>
      <c r="N422" s="49">
        <v>1</v>
      </c>
      <c r="O422" s="49">
        <v>1</v>
      </c>
      <c r="P422" s="50" t="s">
        <v>72</v>
      </c>
      <c r="Q422" s="51">
        <v>10598</v>
      </c>
    </row>
    <row r="423" spans="1:17">
      <c r="A423" s="38" t="str">
        <f t="shared" si="28"/>
        <v>P00SA00</v>
      </c>
      <c r="L423" s="36" t="str">
        <f t="shared" si="29"/>
        <v>P6S1A41</v>
      </c>
      <c r="M423" s="49">
        <v>6</v>
      </c>
      <c r="N423" s="49">
        <v>1</v>
      </c>
      <c r="O423" s="49">
        <v>1</v>
      </c>
      <c r="P423" s="50" t="s">
        <v>73</v>
      </c>
      <c r="Q423" s="51">
        <v>10598</v>
      </c>
    </row>
    <row r="424" spans="1:17">
      <c r="A424" s="38" t="str">
        <f t="shared" si="28"/>
        <v>P00SA00</v>
      </c>
      <c r="L424" s="36" t="str">
        <f t="shared" si="29"/>
        <v>P6S1A42</v>
      </c>
      <c r="M424" s="49">
        <v>6</v>
      </c>
      <c r="N424" s="49">
        <v>1</v>
      </c>
      <c r="O424" s="49">
        <v>1</v>
      </c>
      <c r="P424" s="50" t="s">
        <v>74</v>
      </c>
      <c r="Q424" s="51">
        <v>10598</v>
      </c>
    </row>
    <row r="425" spans="1:17">
      <c r="A425" s="38" t="str">
        <f t="shared" si="28"/>
        <v>P00SA00</v>
      </c>
      <c r="L425" s="36" t="str">
        <f t="shared" si="29"/>
        <v>P6S1A43</v>
      </c>
      <c r="M425" s="49">
        <v>6</v>
      </c>
      <c r="N425" s="49">
        <v>1</v>
      </c>
      <c r="O425" s="49">
        <v>1</v>
      </c>
      <c r="P425" s="50" t="s">
        <v>75</v>
      </c>
      <c r="Q425" s="51">
        <v>10598</v>
      </c>
    </row>
    <row r="426" spans="1:17">
      <c r="A426" s="38" t="str">
        <f t="shared" si="28"/>
        <v>P00SA00</v>
      </c>
      <c r="L426" s="36" t="str">
        <f t="shared" si="29"/>
        <v>P6S1A44</v>
      </c>
      <c r="M426" s="49">
        <v>6</v>
      </c>
      <c r="N426" s="49">
        <v>1</v>
      </c>
      <c r="O426" s="49">
        <v>1</v>
      </c>
      <c r="P426" s="50" t="s">
        <v>76</v>
      </c>
      <c r="Q426" s="51">
        <v>10598</v>
      </c>
    </row>
    <row r="427" spans="1:17">
      <c r="A427" s="38" t="str">
        <f t="shared" si="28"/>
        <v>P00SA00</v>
      </c>
      <c r="L427" s="36" t="str">
        <f t="shared" si="29"/>
        <v>P6S1A45</v>
      </c>
      <c r="M427" s="49">
        <v>6</v>
      </c>
      <c r="N427" s="49">
        <v>1</v>
      </c>
      <c r="O427" s="49">
        <v>1</v>
      </c>
      <c r="P427" s="50" t="s">
        <v>77</v>
      </c>
      <c r="Q427" s="51">
        <v>12909</v>
      </c>
    </row>
    <row r="428" spans="1:17">
      <c r="A428" s="38" t="str">
        <f t="shared" si="28"/>
        <v>P00SA00</v>
      </c>
      <c r="L428" s="36" t="str">
        <f t="shared" si="29"/>
        <v>P6S1A46</v>
      </c>
      <c r="M428" s="49">
        <v>6</v>
      </c>
      <c r="N428" s="49">
        <v>1</v>
      </c>
      <c r="O428" s="49">
        <v>1</v>
      </c>
      <c r="P428" s="50" t="s">
        <v>78</v>
      </c>
      <c r="Q428" s="51">
        <v>12909</v>
      </c>
    </row>
    <row r="429" spans="1:17">
      <c r="A429" s="38" t="str">
        <f t="shared" si="28"/>
        <v>P00SA00</v>
      </c>
      <c r="L429" s="36" t="str">
        <f t="shared" si="29"/>
        <v>P6S1A47</v>
      </c>
      <c r="M429" s="49">
        <v>6</v>
      </c>
      <c r="N429" s="49">
        <v>1</v>
      </c>
      <c r="O429" s="49">
        <v>1</v>
      </c>
      <c r="P429" s="50" t="s">
        <v>79</v>
      </c>
      <c r="Q429" s="51">
        <v>12909</v>
      </c>
    </row>
    <row r="430" spans="1:17">
      <c r="A430" s="38" t="str">
        <f t="shared" si="28"/>
        <v>P00SA00</v>
      </c>
      <c r="L430" s="36" t="str">
        <f t="shared" si="29"/>
        <v>P6S1A48</v>
      </c>
      <c r="M430" s="49">
        <v>6</v>
      </c>
      <c r="N430" s="49">
        <v>1</v>
      </c>
      <c r="O430" s="49">
        <v>1</v>
      </c>
      <c r="P430" s="50" t="s">
        <v>80</v>
      </c>
      <c r="Q430" s="51">
        <v>12909</v>
      </c>
    </row>
    <row r="431" spans="1:17">
      <c r="A431" s="38" t="str">
        <f t="shared" si="28"/>
        <v>P00SA00</v>
      </c>
      <c r="L431" s="36" t="str">
        <f t="shared" si="29"/>
        <v>P6S1A49</v>
      </c>
      <c r="M431" s="49">
        <v>6</v>
      </c>
      <c r="N431" s="49">
        <v>1</v>
      </c>
      <c r="O431" s="49">
        <v>1</v>
      </c>
      <c r="P431" s="50" t="s">
        <v>81</v>
      </c>
      <c r="Q431" s="51">
        <v>12909</v>
      </c>
    </row>
    <row r="432" spans="1:17">
      <c r="A432" s="38" t="str">
        <f t="shared" si="28"/>
        <v>P00SA00</v>
      </c>
      <c r="L432" s="36" t="str">
        <f t="shared" si="29"/>
        <v>P6S1A50</v>
      </c>
      <c r="M432" s="49">
        <v>6</v>
      </c>
      <c r="N432" s="49">
        <v>1</v>
      </c>
      <c r="O432" s="49">
        <v>1</v>
      </c>
      <c r="P432" s="50" t="s">
        <v>82</v>
      </c>
      <c r="Q432" s="51">
        <v>15577</v>
      </c>
    </row>
    <row r="433" spans="1:17">
      <c r="A433" s="38" t="str">
        <f t="shared" si="28"/>
        <v>P00SA00</v>
      </c>
      <c r="L433" s="36" t="str">
        <f t="shared" si="29"/>
        <v>P6S1A51</v>
      </c>
      <c r="M433" s="49">
        <v>6</v>
      </c>
      <c r="N433" s="49">
        <v>1</v>
      </c>
      <c r="O433" s="49">
        <v>1</v>
      </c>
      <c r="P433" s="50" t="s">
        <v>83</v>
      </c>
      <c r="Q433" s="51">
        <v>15577</v>
      </c>
    </row>
    <row r="434" spans="1:17">
      <c r="A434" s="38" t="str">
        <f t="shared" si="28"/>
        <v>P00SA00</v>
      </c>
      <c r="L434" s="36" t="str">
        <f t="shared" si="29"/>
        <v>P6S1A52</v>
      </c>
      <c r="M434" s="49">
        <v>6</v>
      </c>
      <c r="N434" s="49">
        <v>1</v>
      </c>
      <c r="O434" s="49">
        <v>1</v>
      </c>
      <c r="P434" s="50" t="s">
        <v>84</v>
      </c>
      <c r="Q434" s="51">
        <v>15577</v>
      </c>
    </row>
    <row r="435" spans="1:17">
      <c r="A435" s="38" t="str">
        <f t="shared" si="28"/>
        <v>P00SA00</v>
      </c>
      <c r="L435" s="36" t="str">
        <f t="shared" si="29"/>
        <v>P6S1A53</v>
      </c>
      <c r="M435" s="49">
        <v>6</v>
      </c>
      <c r="N435" s="49">
        <v>1</v>
      </c>
      <c r="O435" s="49">
        <v>1</v>
      </c>
      <c r="P435" s="50" t="s">
        <v>85</v>
      </c>
      <c r="Q435" s="51">
        <v>15577</v>
      </c>
    </row>
    <row r="436" spans="1:17">
      <c r="A436" s="38" t="str">
        <f t="shared" si="28"/>
        <v>P00SA00</v>
      </c>
      <c r="L436" s="36" t="str">
        <f t="shared" si="29"/>
        <v>P6S1A54</v>
      </c>
      <c r="M436" s="49">
        <v>6</v>
      </c>
      <c r="N436" s="49">
        <v>1</v>
      </c>
      <c r="O436" s="49">
        <v>1</v>
      </c>
      <c r="P436" s="50" t="s">
        <v>86</v>
      </c>
      <c r="Q436" s="51">
        <v>15577</v>
      </c>
    </row>
    <row r="437" spans="1:17">
      <c r="A437" s="38" t="str">
        <f t="shared" si="28"/>
        <v>P00SA00</v>
      </c>
      <c r="L437" s="36" t="str">
        <f t="shared" si="29"/>
        <v>P6S1A55</v>
      </c>
      <c r="M437" s="49">
        <v>6</v>
      </c>
      <c r="N437" s="49">
        <v>1</v>
      </c>
      <c r="O437" s="49">
        <v>1</v>
      </c>
      <c r="P437" s="50" t="s">
        <v>87</v>
      </c>
      <c r="Q437" s="51">
        <v>19050</v>
      </c>
    </row>
    <row r="438" spans="1:17">
      <c r="A438" s="38" t="str">
        <f t="shared" si="28"/>
        <v>P00SA00</v>
      </c>
      <c r="L438" s="36" t="str">
        <f t="shared" si="29"/>
        <v>P6S1A56</v>
      </c>
      <c r="M438" s="49">
        <v>6</v>
      </c>
      <c r="N438" s="49">
        <v>1</v>
      </c>
      <c r="O438" s="49">
        <v>1</v>
      </c>
      <c r="P438" s="50" t="s">
        <v>88</v>
      </c>
      <c r="Q438" s="51">
        <v>19050</v>
      </c>
    </row>
    <row r="439" spans="1:17">
      <c r="A439" s="38" t="str">
        <f t="shared" si="28"/>
        <v>P00SA00</v>
      </c>
      <c r="L439" s="36" t="str">
        <f t="shared" si="29"/>
        <v>P6S1A57</v>
      </c>
      <c r="M439" s="49">
        <v>6</v>
      </c>
      <c r="N439" s="49">
        <v>1</v>
      </c>
      <c r="O439" s="49">
        <v>1</v>
      </c>
      <c r="P439" s="50" t="s">
        <v>89</v>
      </c>
      <c r="Q439" s="51">
        <v>19050</v>
      </c>
    </row>
    <row r="440" spans="1:17">
      <c r="A440" s="38" t="str">
        <f t="shared" si="28"/>
        <v>P00SA00</v>
      </c>
      <c r="L440" s="36" t="str">
        <f t="shared" si="29"/>
        <v>P6S1A58</v>
      </c>
      <c r="M440" s="49">
        <v>6</v>
      </c>
      <c r="N440" s="49">
        <v>1</v>
      </c>
      <c r="O440" s="49">
        <v>1</v>
      </c>
      <c r="P440" s="50" t="s">
        <v>90</v>
      </c>
      <c r="Q440" s="51">
        <v>19050</v>
      </c>
    </row>
    <row r="441" spans="1:17">
      <c r="A441" s="38" t="str">
        <f t="shared" si="28"/>
        <v>P00SA00</v>
      </c>
      <c r="L441" s="36" t="str">
        <f t="shared" si="29"/>
        <v>P6S1A59</v>
      </c>
      <c r="M441" s="49">
        <v>6</v>
      </c>
      <c r="N441" s="49">
        <v>1</v>
      </c>
      <c r="O441" s="49">
        <v>1</v>
      </c>
      <c r="P441" s="50" t="s">
        <v>91</v>
      </c>
      <c r="Q441" s="51">
        <v>19050</v>
      </c>
    </row>
    <row r="442" spans="1:17">
      <c r="A442" s="38" t="str">
        <f t="shared" si="28"/>
        <v>P00SA00</v>
      </c>
      <c r="L442" s="36" t="str">
        <f t="shared" si="29"/>
        <v>P6S1A60</v>
      </c>
      <c r="M442" s="49">
        <v>6</v>
      </c>
      <c r="N442" s="49">
        <v>1</v>
      </c>
      <c r="O442" s="49">
        <v>1</v>
      </c>
      <c r="P442" s="50" t="s">
        <v>92</v>
      </c>
      <c r="Q442" s="51">
        <v>22432</v>
      </c>
    </row>
    <row r="443" spans="1:17">
      <c r="A443" s="38" t="str">
        <f t="shared" si="28"/>
        <v>P00SA00</v>
      </c>
      <c r="L443" s="36" t="str">
        <f t="shared" si="29"/>
        <v>P6S1A61</v>
      </c>
      <c r="M443" s="49">
        <v>6</v>
      </c>
      <c r="N443" s="49">
        <v>1</v>
      </c>
      <c r="O443" s="49">
        <v>1</v>
      </c>
      <c r="P443" s="50" t="s">
        <v>93</v>
      </c>
      <c r="Q443" s="51">
        <v>22432</v>
      </c>
    </row>
    <row r="444" spans="1:17">
      <c r="A444" s="38" t="str">
        <f t="shared" si="28"/>
        <v>P00SA00</v>
      </c>
      <c r="L444" s="36" t="str">
        <f t="shared" si="29"/>
        <v>P6S1A62</v>
      </c>
      <c r="M444" s="49">
        <v>6</v>
      </c>
      <c r="N444" s="49">
        <v>1</v>
      </c>
      <c r="O444" s="49">
        <v>1</v>
      </c>
      <c r="P444" s="50" t="s">
        <v>94</v>
      </c>
      <c r="Q444" s="51">
        <v>22432</v>
      </c>
    </row>
    <row r="445" spans="1:17">
      <c r="A445" s="38" t="str">
        <f t="shared" si="28"/>
        <v>P00SA00</v>
      </c>
      <c r="L445" s="36" t="str">
        <f t="shared" si="29"/>
        <v>P6S1A63</v>
      </c>
      <c r="M445" s="49">
        <v>6</v>
      </c>
      <c r="N445" s="49">
        <v>1</v>
      </c>
      <c r="O445" s="49">
        <v>1</v>
      </c>
      <c r="P445" s="50" t="s">
        <v>95</v>
      </c>
      <c r="Q445" s="51">
        <v>22432</v>
      </c>
    </row>
    <row r="446" spans="1:17">
      <c r="A446" s="38" t="str">
        <f t="shared" si="28"/>
        <v>P00SA00</v>
      </c>
      <c r="L446" s="36" t="str">
        <f t="shared" si="29"/>
        <v>P6S1A64</v>
      </c>
      <c r="M446" s="49">
        <v>6</v>
      </c>
      <c r="N446" s="49">
        <v>1</v>
      </c>
      <c r="O446" s="49">
        <v>1</v>
      </c>
      <c r="P446" s="50" t="s">
        <v>96</v>
      </c>
      <c r="Q446" s="51">
        <v>22432</v>
      </c>
    </row>
    <row r="447" spans="1:17">
      <c r="A447" s="38" t="str">
        <f t="shared" si="28"/>
        <v>P00SA00</v>
      </c>
      <c r="L447" s="36" t="str">
        <f t="shared" si="29"/>
        <v>P6S1A65</v>
      </c>
      <c r="M447" s="49">
        <v>6</v>
      </c>
      <c r="N447" s="49">
        <v>1</v>
      </c>
      <c r="O447" s="49">
        <v>1</v>
      </c>
      <c r="P447" s="50" t="s">
        <v>97</v>
      </c>
      <c r="Q447" s="51">
        <v>29209</v>
      </c>
    </row>
    <row r="448" spans="1:17">
      <c r="A448" s="38" t="str">
        <f t="shared" si="28"/>
        <v>P00SA00</v>
      </c>
      <c r="L448" s="36" t="str">
        <f t="shared" si="29"/>
        <v>P6S1A66</v>
      </c>
      <c r="M448" s="49">
        <v>6</v>
      </c>
      <c r="N448" s="49">
        <v>1</v>
      </c>
      <c r="O448" s="49">
        <v>1</v>
      </c>
      <c r="P448" s="50" t="s">
        <v>98</v>
      </c>
      <c r="Q448" s="51">
        <v>29209</v>
      </c>
    </row>
    <row r="449" spans="1:17">
      <c r="A449" s="38" t="str">
        <f t="shared" si="28"/>
        <v>P00SA00</v>
      </c>
      <c r="L449" s="36" t="str">
        <f t="shared" si="29"/>
        <v>P6S1A67</v>
      </c>
      <c r="M449" s="49">
        <v>6</v>
      </c>
      <c r="N449" s="49">
        <v>1</v>
      </c>
      <c r="O449" s="49">
        <v>1</v>
      </c>
      <c r="P449" s="50" t="s">
        <v>99</v>
      </c>
      <c r="Q449" s="51">
        <v>29209</v>
      </c>
    </row>
    <row r="450" spans="1:17">
      <c r="A450" s="38" t="str">
        <f t="shared" ref="A450:A471" si="30">"P"&amp;REPT("0",2-LEN(C450))&amp;C450&amp;"S"&amp;D450&amp;"A"&amp;REPT("0",2-LEN(E450))&amp;E450</f>
        <v>P00SA00</v>
      </c>
      <c r="L450" s="36" t="str">
        <f t="shared" ref="L450:L513" si="31">"P"&amp;M450&amp;"S"&amp;O450&amp;"A"&amp;REPT("0",2-LEN(P450))&amp;P450</f>
        <v>P6S1A68</v>
      </c>
      <c r="M450" s="49">
        <v>6</v>
      </c>
      <c r="N450" s="49">
        <v>1</v>
      </c>
      <c r="O450" s="49">
        <v>1</v>
      </c>
      <c r="P450" s="50" t="s">
        <v>100</v>
      </c>
      <c r="Q450" s="51">
        <v>29209</v>
      </c>
    </row>
    <row r="451" spans="1:17">
      <c r="A451" s="38" t="str">
        <f t="shared" si="30"/>
        <v>P00SA00</v>
      </c>
      <c r="L451" s="36" t="str">
        <f t="shared" si="31"/>
        <v>P6S1A69</v>
      </c>
      <c r="M451" s="49">
        <v>6</v>
      </c>
      <c r="N451" s="49">
        <v>1</v>
      </c>
      <c r="O451" s="49">
        <v>1</v>
      </c>
      <c r="P451" s="50" t="s">
        <v>101</v>
      </c>
      <c r="Q451" s="51">
        <v>29209</v>
      </c>
    </row>
    <row r="452" spans="1:17">
      <c r="A452" s="38" t="str">
        <f t="shared" si="30"/>
        <v>P00SA00</v>
      </c>
      <c r="L452" s="36" t="str">
        <f t="shared" si="31"/>
        <v>P6S1A70</v>
      </c>
      <c r="M452" s="49">
        <v>6</v>
      </c>
      <c r="N452" s="49">
        <v>1</v>
      </c>
      <c r="O452" s="49">
        <v>1</v>
      </c>
      <c r="P452" s="50" t="s">
        <v>102</v>
      </c>
      <c r="Q452" s="51">
        <v>36389</v>
      </c>
    </row>
    <row r="453" spans="1:17">
      <c r="A453" s="38" t="str">
        <f t="shared" si="30"/>
        <v>P00SA00</v>
      </c>
      <c r="L453" s="36" t="str">
        <f t="shared" si="31"/>
        <v>P6S1A71</v>
      </c>
      <c r="M453" s="49">
        <v>6</v>
      </c>
      <c r="N453" s="49">
        <v>1</v>
      </c>
      <c r="O453" s="49">
        <v>1</v>
      </c>
      <c r="P453" s="50" t="s">
        <v>103</v>
      </c>
      <c r="Q453" s="51">
        <v>36389</v>
      </c>
    </row>
    <row r="454" spans="1:17">
      <c r="A454" s="38" t="str">
        <f t="shared" si="30"/>
        <v>P00SA00</v>
      </c>
      <c r="L454" s="36" t="str">
        <f t="shared" si="31"/>
        <v>P6S1A72</v>
      </c>
      <c r="M454" s="49">
        <v>6</v>
      </c>
      <c r="N454" s="49">
        <v>1</v>
      </c>
      <c r="O454" s="49">
        <v>1</v>
      </c>
      <c r="P454" s="50" t="s">
        <v>104</v>
      </c>
      <c r="Q454" s="51">
        <v>36389</v>
      </c>
    </row>
    <row r="455" spans="1:17">
      <c r="A455" s="38" t="str">
        <f t="shared" si="30"/>
        <v>P00SA00</v>
      </c>
      <c r="L455" s="36" t="str">
        <f t="shared" si="31"/>
        <v>P6S1A73</v>
      </c>
      <c r="M455" s="49">
        <v>6</v>
      </c>
      <c r="N455" s="49">
        <v>1</v>
      </c>
      <c r="O455" s="49">
        <v>1</v>
      </c>
      <c r="P455" s="50" t="s">
        <v>105</v>
      </c>
      <c r="Q455" s="51">
        <v>36389</v>
      </c>
    </row>
    <row r="456" spans="1:17">
      <c r="A456" s="38" t="str">
        <f t="shared" si="30"/>
        <v>P00SA00</v>
      </c>
      <c r="L456" s="36" t="str">
        <f t="shared" si="31"/>
        <v>P6S1A74</v>
      </c>
      <c r="M456" s="49">
        <v>6</v>
      </c>
      <c r="N456" s="49">
        <v>1</v>
      </c>
      <c r="O456" s="49">
        <v>1</v>
      </c>
      <c r="P456" s="50" t="s">
        <v>106</v>
      </c>
      <c r="Q456" s="51">
        <v>36389</v>
      </c>
    </row>
    <row r="457" spans="1:17">
      <c r="A457" s="38" t="str">
        <f t="shared" si="30"/>
        <v>P00SA00</v>
      </c>
      <c r="L457" s="36" t="str">
        <f t="shared" si="31"/>
        <v>P6S1A75</v>
      </c>
      <c r="M457" s="49">
        <v>6</v>
      </c>
      <c r="N457" s="49">
        <v>1</v>
      </c>
      <c r="O457" s="49">
        <v>1</v>
      </c>
      <c r="P457" s="50" t="s">
        <v>107</v>
      </c>
      <c r="Q457" s="51">
        <v>36389</v>
      </c>
    </row>
    <row r="458" spans="1:17">
      <c r="A458" s="38" t="str">
        <f t="shared" si="30"/>
        <v>P00SA00</v>
      </c>
      <c r="L458" s="36" t="str">
        <f t="shared" si="31"/>
        <v>P1S2A00</v>
      </c>
      <c r="M458" s="49">
        <v>1</v>
      </c>
      <c r="N458" s="49">
        <v>1</v>
      </c>
      <c r="O458" s="49">
        <v>2</v>
      </c>
      <c r="P458" s="50" t="s">
        <v>32</v>
      </c>
      <c r="Q458" s="51">
        <v>1026</v>
      </c>
    </row>
    <row r="459" spans="1:17">
      <c r="A459" s="38" t="str">
        <f t="shared" si="30"/>
        <v>P00SA00</v>
      </c>
      <c r="L459" s="36" t="str">
        <f t="shared" si="31"/>
        <v>P1S2A01</v>
      </c>
      <c r="M459" s="49">
        <v>1</v>
      </c>
      <c r="N459" s="49">
        <v>1</v>
      </c>
      <c r="O459" s="49">
        <v>2</v>
      </c>
      <c r="P459" s="50" t="s">
        <v>33</v>
      </c>
      <c r="Q459" s="51">
        <v>1026</v>
      </c>
    </row>
    <row r="460" spans="1:17">
      <c r="A460" s="38" t="str">
        <f t="shared" si="30"/>
        <v>P00SA00</v>
      </c>
      <c r="L460" s="36" t="str">
        <f t="shared" si="31"/>
        <v>P1S2A02</v>
      </c>
      <c r="M460" s="49">
        <v>1</v>
      </c>
      <c r="N460" s="49">
        <v>1</v>
      </c>
      <c r="O460" s="49">
        <v>2</v>
      </c>
      <c r="P460" s="50" t="s">
        <v>34</v>
      </c>
      <c r="Q460" s="51">
        <v>1026</v>
      </c>
    </row>
    <row r="461" spans="1:17">
      <c r="A461" s="38" t="str">
        <f t="shared" si="30"/>
        <v>P00SA00</v>
      </c>
      <c r="L461" s="36" t="str">
        <f t="shared" si="31"/>
        <v>P1S2A03</v>
      </c>
      <c r="M461" s="49">
        <v>1</v>
      </c>
      <c r="N461" s="49">
        <v>1</v>
      </c>
      <c r="O461" s="49">
        <v>2</v>
      </c>
      <c r="P461" s="50" t="s">
        <v>35</v>
      </c>
      <c r="Q461" s="51">
        <v>1026</v>
      </c>
    </row>
    <row r="462" spans="1:17">
      <c r="A462" s="38" t="str">
        <f t="shared" si="30"/>
        <v>P00SA00</v>
      </c>
      <c r="L462" s="36" t="str">
        <f t="shared" si="31"/>
        <v>P1S2A04</v>
      </c>
      <c r="M462" s="49">
        <v>1</v>
      </c>
      <c r="N462" s="49">
        <v>1</v>
      </c>
      <c r="O462" s="49">
        <v>2</v>
      </c>
      <c r="P462" s="50" t="s">
        <v>36</v>
      </c>
      <c r="Q462" s="51">
        <v>1026</v>
      </c>
    </row>
    <row r="463" spans="1:17">
      <c r="A463" s="38" t="str">
        <f t="shared" si="30"/>
        <v>P00SA00</v>
      </c>
      <c r="L463" s="36" t="str">
        <f t="shared" si="31"/>
        <v>P1S2A05</v>
      </c>
      <c r="M463" s="49">
        <v>1</v>
      </c>
      <c r="N463" s="49">
        <v>1</v>
      </c>
      <c r="O463" s="49">
        <v>2</v>
      </c>
      <c r="P463" s="50" t="s">
        <v>37</v>
      </c>
      <c r="Q463" s="51">
        <v>1026</v>
      </c>
    </row>
    <row r="464" spans="1:17">
      <c r="A464" s="38" t="str">
        <f t="shared" si="30"/>
        <v>P00SA00</v>
      </c>
      <c r="L464" s="36" t="str">
        <f t="shared" si="31"/>
        <v>P1S2A06</v>
      </c>
      <c r="M464" s="49">
        <v>1</v>
      </c>
      <c r="N464" s="49">
        <v>1</v>
      </c>
      <c r="O464" s="49">
        <v>2</v>
      </c>
      <c r="P464" s="50" t="s">
        <v>38</v>
      </c>
      <c r="Q464" s="51">
        <v>1026</v>
      </c>
    </row>
    <row r="465" spans="1:17">
      <c r="A465" s="38" t="str">
        <f t="shared" si="30"/>
        <v>P00SA00</v>
      </c>
      <c r="L465" s="36" t="str">
        <f t="shared" si="31"/>
        <v>P1S2A07</v>
      </c>
      <c r="M465" s="49">
        <v>1</v>
      </c>
      <c r="N465" s="49">
        <v>1</v>
      </c>
      <c r="O465" s="49">
        <v>2</v>
      </c>
      <c r="P465" s="50" t="s">
        <v>39</v>
      </c>
      <c r="Q465" s="51">
        <v>1026</v>
      </c>
    </row>
    <row r="466" spans="1:17">
      <c r="A466" s="38" t="str">
        <f t="shared" si="30"/>
        <v>P00SA00</v>
      </c>
      <c r="L466" s="36" t="str">
        <f t="shared" si="31"/>
        <v>P1S2A08</v>
      </c>
      <c r="M466" s="49">
        <v>1</v>
      </c>
      <c r="N466" s="49">
        <v>1</v>
      </c>
      <c r="O466" s="49">
        <v>2</v>
      </c>
      <c r="P466" s="50" t="s">
        <v>40</v>
      </c>
      <c r="Q466" s="51">
        <v>1026</v>
      </c>
    </row>
    <row r="467" spans="1:17">
      <c r="A467" s="38" t="str">
        <f t="shared" si="30"/>
        <v>P00SA00</v>
      </c>
      <c r="L467" s="36" t="str">
        <f t="shared" si="31"/>
        <v>P1S2A09</v>
      </c>
      <c r="M467" s="49">
        <v>1</v>
      </c>
      <c r="N467" s="49">
        <v>1</v>
      </c>
      <c r="O467" s="49">
        <v>2</v>
      </c>
      <c r="P467" s="50" t="s">
        <v>41</v>
      </c>
      <c r="Q467" s="51">
        <v>1026</v>
      </c>
    </row>
    <row r="468" spans="1:17">
      <c r="A468" s="38" t="str">
        <f t="shared" si="30"/>
        <v>P00SA00</v>
      </c>
      <c r="L468" s="36" t="str">
        <f t="shared" si="31"/>
        <v>P1S2A10</v>
      </c>
      <c r="M468" s="49">
        <v>1</v>
      </c>
      <c r="N468" s="49">
        <v>1</v>
      </c>
      <c r="O468" s="49">
        <v>2</v>
      </c>
      <c r="P468" s="50" t="s">
        <v>42</v>
      </c>
      <c r="Q468" s="51">
        <v>1026</v>
      </c>
    </row>
    <row r="469" spans="1:17">
      <c r="A469" s="38" t="str">
        <f t="shared" si="30"/>
        <v>P00SA00</v>
      </c>
      <c r="L469" s="36" t="str">
        <f t="shared" si="31"/>
        <v>P1S2A11</v>
      </c>
      <c r="M469" s="49">
        <v>1</v>
      </c>
      <c r="N469" s="49">
        <v>1</v>
      </c>
      <c r="O469" s="49">
        <v>2</v>
      </c>
      <c r="P469" s="50" t="s">
        <v>43</v>
      </c>
      <c r="Q469" s="51">
        <v>1026</v>
      </c>
    </row>
    <row r="470" spans="1:17">
      <c r="A470" s="38" t="str">
        <f t="shared" si="30"/>
        <v>P00SA00</v>
      </c>
      <c r="L470" s="36" t="str">
        <f t="shared" si="31"/>
        <v>P1S2A12</v>
      </c>
      <c r="M470" s="49">
        <v>1</v>
      </c>
      <c r="N470" s="49">
        <v>1</v>
      </c>
      <c r="O470" s="49">
        <v>2</v>
      </c>
      <c r="P470" s="50" t="s">
        <v>44</v>
      </c>
      <c r="Q470" s="51">
        <v>1026</v>
      </c>
    </row>
    <row r="471" spans="1:17">
      <c r="A471" s="38" t="str">
        <f t="shared" si="30"/>
        <v>P00SA00</v>
      </c>
      <c r="L471" s="36" t="str">
        <f t="shared" si="31"/>
        <v>P1S2A13</v>
      </c>
      <c r="M471" s="49">
        <v>1</v>
      </c>
      <c r="N471" s="49">
        <v>1</v>
      </c>
      <c r="O471" s="49">
        <v>2</v>
      </c>
      <c r="P471" s="50" t="s">
        <v>45</v>
      </c>
      <c r="Q471" s="51">
        <v>1026</v>
      </c>
    </row>
    <row r="472" spans="1:17">
      <c r="L472" s="36" t="str">
        <f t="shared" si="31"/>
        <v>P1S2A14</v>
      </c>
      <c r="M472" s="49">
        <v>1</v>
      </c>
      <c r="N472" s="49">
        <v>1</v>
      </c>
      <c r="O472" s="49">
        <v>2</v>
      </c>
      <c r="P472" s="50" t="s">
        <v>46</v>
      </c>
      <c r="Q472" s="51">
        <v>1026</v>
      </c>
    </row>
    <row r="473" spans="1:17">
      <c r="L473" s="36" t="str">
        <f t="shared" si="31"/>
        <v>P1S2A15</v>
      </c>
      <c r="M473" s="49">
        <v>1</v>
      </c>
      <c r="N473" s="49">
        <v>1</v>
      </c>
      <c r="O473" s="49">
        <v>2</v>
      </c>
      <c r="P473" s="50" t="s">
        <v>47</v>
      </c>
      <c r="Q473" s="51">
        <v>490</v>
      </c>
    </row>
    <row r="474" spans="1:17">
      <c r="L474" s="36" t="str">
        <f t="shared" si="31"/>
        <v>P1S2A16</v>
      </c>
      <c r="M474" s="49">
        <v>1</v>
      </c>
      <c r="N474" s="49">
        <v>1</v>
      </c>
      <c r="O474" s="49">
        <v>2</v>
      </c>
      <c r="P474" s="50" t="s">
        <v>48</v>
      </c>
      <c r="Q474" s="51">
        <v>490</v>
      </c>
    </row>
    <row r="475" spans="1:17">
      <c r="L475" s="36" t="str">
        <f t="shared" si="31"/>
        <v>P1S2A17</v>
      </c>
      <c r="M475" s="49">
        <v>1</v>
      </c>
      <c r="N475" s="49">
        <v>1</v>
      </c>
      <c r="O475" s="49">
        <v>2</v>
      </c>
      <c r="P475" s="50" t="s">
        <v>49</v>
      </c>
      <c r="Q475" s="51">
        <v>490</v>
      </c>
    </row>
    <row r="476" spans="1:17">
      <c r="L476" s="36" t="str">
        <f t="shared" si="31"/>
        <v>P1S2A18</v>
      </c>
      <c r="M476" s="49">
        <v>1</v>
      </c>
      <c r="N476" s="49">
        <v>1</v>
      </c>
      <c r="O476" s="49">
        <v>2</v>
      </c>
      <c r="P476" s="50" t="s">
        <v>50</v>
      </c>
      <c r="Q476" s="51">
        <v>490</v>
      </c>
    </row>
    <row r="477" spans="1:17">
      <c r="L477" s="36" t="str">
        <f t="shared" si="31"/>
        <v>P1S2A19</v>
      </c>
      <c r="M477" s="49">
        <v>1</v>
      </c>
      <c r="N477" s="49">
        <v>1</v>
      </c>
      <c r="O477" s="49">
        <v>2</v>
      </c>
      <c r="P477" s="50" t="s">
        <v>51</v>
      </c>
      <c r="Q477" s="51">
        <v>490</v>
      </c>
    </row>
    <row r="478" spans="1:17">
      <c r="L478" s="36" t="str">
        <f t="shared" si="31"/>
        <v>P1S2A20</v>
      </c>
      <c r="M478" s="49">
        <v>1</v>
      </c>
      <c r="N478" s="49">
        <v>1</v>
      </c>
      <c r="O478" s="49">
        <v>2</v>
      </c>
      <c r="P478" s="50" t="s">
        <v>52</v>
      </c>
      <c r="Q478" s="51">
        <v>676</v>
      </c>
    </row>
    <row r="479" spans="1:17">
      <c r="L479" s="36" t="str">
        <f t="shared" si="31"/>
        <v>P1S2A21</v>
      </c>
      <c r="M479" s="49">
        <v>1</v>
      </c>
      <c r="N479" s="49">
        <v>1</v>
      </c>
      <c r="O479" s="49">
        <v>2</v>
      </c>
      <c r="P479" s="50" t="s">
        <v>53</v>
      </c>
      <c r="Q479" s="51">
        <v>676</v>
      </c>
    </row>
    <row r="480" spans="1:17">
      <c r="L480" s="36" t="str">
        <f t="shared" si="31"/>
        <v>P1S2A22</v>
      </c>
      <c r="M480" s="49">
        <v>1</v>
      </c>
      <c r="N480" s="49">
        <v>1</v>
      </c>
      <c r="O480" s="49">
        <v>2</v>
      </c>
      <c r="P480" s="50" t="s">
        <v>54</v>
      </c>
      <c r="Q480" s="51">
        <v>676</v>
      </c>
    </row>
    <row r="481" spans="12:17">
      <c r="L481" s="36" t="str">
        <f t="shared" si="31"/>
        <v>P1S2A23</v>
      </c>
      <c r="M481" s="49">
        <v>1</v>
      </c>
      <c r="N481" s="49">
        <v>1</v>
      </c>
      <c r="O481" s="49">
        <v>2</v>
      </c>
      <c r="P481" s="50" t="s">
        <v>55</v>
      </c>
      <c r="Q481" s="51">
        <v>676</v>
      </c>
    </row>
    <row r="482" spans="12:17">
      <c r="L482" s="36" t="str">
        <f t="shared" si="31"/>
        <v>P1S2A24</v>
      </c>
      <c r="M482" s="49">
        <v>1</v>
      </c>
      <c r="N482" s="49">
        <v>1</v>
      </c>
      <c r="O482" s="49">
        <v>2</v>
      </c>
      <c r="P482" s="50" t="s">
        <v>56</v>
      </c>
      <c r="Q482" s="51">
        <v>676</v>
      </c>
    </row>
    <row r="483" spans="12:17">
      <c r="L483" s="36" t="str">
        <f t="shared" si="31"/>
        <v>P1S2A25</v>
      </c>
      <c r="M483" s="49">
        <v>1</v>
      </c>
      <c r="N483" s="49">
        <v>1</v>
      </c>
      <c r="O483" s="49">
        <v>2</v>
      </c>
      <c r="P483" s="50" t="s">
        <v>57</v>
      </c>
      <c r="Q483" s="51">
        <v>1097</v>
      </c>
    </row>
    <row r="484" spans="12:17">
      <c r="L484" s="36" t="str">
        <f t="shared" si="31"/>
        <v>P1S2A26</v>
      </c>
      <c r="M484" s="49">
        <v>1</v>
      </c>
      <c r="N484" s="49">
        <v>1</v>
      </c>
      <c r="O484" s="49">
        <v>2</v>
      </c>
      <c r="P484" s="50" t="s">
        <v>58</v>
      </c>
      <c r="Q484" s="51">
        <v>1097</v>
      </c>
    </row>
    <row r="485" spans="12:17">
      <c r="L485" s="36" t="str">
        <f t="shared" si="31"/>
        <v>P1S2A27</v>
      </c>
      <c r="M485" s="49">
        <v>1</v>
      </c>
      <c r="N485" s="49">
        <v>1</v>
      </c>
      <c r="O485" s="49">
        <v>2</v>
      </c>
      <c r="P485" s="50" t="s">
        <v>59</v>
      </c>
      <c r="Q485" s="51">
        <v>1097</v>
      </c>
    </row>
    <row r="486" spans="12:17">
      <c r="L486" s="36" t="str">
        <f t="shared" si="31"/>
        <v>P1S2A28</v>
      </c>
      <c r="M486" s="49">
        <v>1</v>
      </c>
      <c r="N486" s="49">
        <v>1</v>
      </c>
      <c r="O486" s="49">
        <v>2</v>
      </c>
      <c r="P486" s="50" t="s">
        <v>60</v>
      </c>
      <c r="Q486" s="51">
        <v>1097</v>
      </c>
    </row>
    <row r="487" spans="12:17">
      <c r="L487" s="36" t="str">
        <f t="shared" si="31"/>
        <v>P1S2A29</v>
      </c>
      <c r="M487" s="49">
        <v>1</v>
      </c>
      <c r="N487" s="49">
        <v>1</v>
      </c>
      <c r="O487" s="49">
        <v>2</v>
      </c>
      <c r="P487" s="50" t="s">
        <v>61</v>
      </c>
      <c r="Q487" s="51">
        <v>1097</v>
      </c>
    </row>
    <row r="488" spans="12:17">
      <c r="L488" s="36" t="str">
        <f t="shared" si="31"/>
        <v>P1S2A30</v>
      </c>
      <c r="M488" s="49">
        <v>1</v>
      </c>
      <c r="N488" s="49">
        <v>1</v>
      </c>
      <c r="O488" s="49">
        <v>2</v>
      </c>
      <c r="P488" s="50" t="s">
        <v>62</v>
      </c>
      <c r="Q488" s="51">
        <v>1431</v>
      </c>
    </row>
    <row r="489" spans="12:17">
      <c r="L489" s="36" t="str">
        <f t="shared" si="31"/>
        <v>P1S2A31</v>
      </c>
      <c r="M489" s="49">
        <v>1</v>
      </c>
      <c r="N489" s="49">
        <v>1</v>
      </c>
      <c r="O489" s="49">
        <v>2</v>
      </c>
      <c r="P489" s="50" t="s">
        <v>63</v>
      </c>
      <c r="Q489" s="51">
        <v>1431</v>
      </c>
    </row>
    <row r="490" spans="12:17">
      <c r="L490" s="36" t="str">
        <f t="shared" si="31"/>
        <v>P1S2A32</v>
      </c>
      <c r="M490" s="49">
        <v>1</v>
      </c>
      <c r="N490" s="49">
        <v>1</v>
      </c>
      <c r="O490" s="49">
        <v>2</v>
      </c>
      <c r="P490" s="50" t="s">
        <v>64</v>
      </c>
      <c r="Q490" s="51">
        <v>1431</v>
      </c>
    </row>
    <row r="491" spans="12:17">
      <c r="L491" s="36" t="str">
        <f t="shared" si="31"/>
        <v>P1S2A33</v>
      </c>
      <c r="M491" s="49">
        <v>1</v>
      </c>
      <c r="N491" s="49">
        <v>1</v>
      </c>
      <c r="O491" s="49">
        <v>2</v>
      </c>
      <c r="P491" s="50" t="s">
        <v>65</v>
      </c>
      <c r="Q491" s="51">
        <v>1431</v>
      </c>
    </row>
    <row r="492" spans="12:17">
      <c r="L492" s="36" t="str">
        <f t="shared" si="31"/>
        <v>P1S2A34</v>
      </c>
      <c r="M492" s="49">
        <v>1</v>
      </c>
      <c r="N492" s="49">
        <v>1</v>
      </c>
      <c r="O492" s="49">
        <v>2</v>
      </c>
      <c r="P492" s="50" t="s">
        <v>66</v>
      </c>
      <c r="Q492" s="51">
        <v>1431</v>
      </c>
    </row>
    <row r="493" spans="12:17">
      <c r="L493" s="36" t="str">
        <f t="shared" si="31"/>
        <v>P1S2A35</v>
      </c>
      <c r="M493" s="49">
        <v>1</v>
      </c>
      <c r="N493" s="49">
        <v>1</v>
      </c>
      <c r="O493" s="49">
        <v>2</v>
      </c>
      <c r="P493" s="50" t="s">
        <v>67</v>
      </c>
      <c r="Q493" s="51">
        <v>1496</v>
      </c>
    </row>
    <row r="494" spans="12:17">
      <c r="L494" s="36" t="str">
        <f t="shared" si="31"/>
        <v>P1S2A36</v>
      </c>
      <c r="M494" s="49">
        <v>1</v>
      </c>
      <c r="N494" s="49">
        <v>1</v>
      </c>
      <c r="O494" s="49">
        <v>2</v>
      </c>
      <c r="P494" s="50" t="s">
        <v>68</v>
      </c>
      <c r="Q494" s="51">
        <v>1496</v>
      </c>
    </row>
    <row r="495" spans="12:17">
      <c r="L495" s="36" t="str">
        <f t="shared" si="31"/>
        <v>P1S2A37</v>
      </c>
      <c r="M495" s="49">
        <v>1</v>
      </c>
      <c r="N495" s="49">
        <v>1</v>
      </c>
      <c r="O495" s="49">
        <v>2</v>
      </c>
      <c r="P495" s="50" t="s">
        <v>69</v>
      </c>
      <c r="Q495" s="51">
        <v>1496</v>
      </c>
    </row>
    <row r="496" spans="12:17">
      <c r="L496" s="36" t="str">
        <f t="shared" si="31"/>
        <v>P1S2A38</v>
      </c>
      <c r="M496" s="49">
        <v>1</v>
      </c>
      <c r="N496" s="49">
        <v>1</v>
      </c>
      <c r="O496" s="49">
        <v>2</v>
      </c>
      <c r="P496" s="50" t="s">
        <v>70</v>
      </c>
      <c r="Q496" s="51">
        <v>1496</v>
      </c>
    </row>
    <row r="497" spans="12:17">
      <c r="L497" s="36" t="str">
        <f t="shared" si="31"/>
        <v>P1S2A39</v>
      </c>
      <c r="M497" s="49">
        <v>1</v>
      </c>
      <c r="N497" s="49">
        <v>1</v>
      </c>
      <c r="O497" s="49">
        <v>2</v>
      </c>
      <c r="P497" s="50" t="s">
        <v>71</v>
      </c>
      <c r="Q497" s="51">
        <v>1496</v>
      </c>
    </row>
    <row r="498" spans="12:17">
      <c r="L498" s="36" t="str">
        <f t="shared" si="31"/>
        <v>P1S2A40</v>
      </c>
      <c r="M498" s="49">
        <v>1</v>
      </c>
      <c r="N498" s="49">
        <v>1</v>
      </c>
      <c r="O498" s="49">
        <v>2</v>
      </c>
      <c r="P498" s="50" t="s">
        <v>72</v>
      </c>
      <c r="Q498" s="51">
        <v>1548</v>
      </c>
    </row>
    <row r="499" spans="12:17">
      <c r="L499" s="36" t="str">
        <f t="shared" si="31"/>
        <v>P1S2A41</v>
      </c>
      <c r="M499" s="49">
        <v>1</v>
      </c>
      <c r="N499" s="49">
        <v>1</v>
      </c>
      <c r="O499" s="49">
        <v>2</v>
      </c>
      <c r="P499" s="50" t="s">
        <v>73</v>
      </c>
      <c r="Q499" s="51">
        <v>1548</v>
      </c>
    </row>
    <row r="500" spans="12:17">
      <c r="L500" s="36" t="str">
        <f t="shared" si="31"/>
        <v>P1S2A42</v>
      </c>
      <c r="M500" s="49">
        <v>1</v>
      </c>
      <c r="N500" s="49">
        <v>1</v>
      </c>
      <c r="O500" s="49">
        <v>2</v>
      </c>
      <c r="P500" s="50" t="s">
        <v>74</v>
      </c>
      <c r="Q500" s="51">
        <v>1548</v>
      </c>
    </row>
    <row r="501" spans="12:17">
      <c r="L501" s="36" t="str">
        <f t="shared" si="31"/>
        <v>P1S2A43</v>
      </c>
      <c r="M501" s="49">
        <v>1</v>
      </c>
      <c r="N501" s="49">
        <v>1</v>
      </c>
      <c r="O501" s="49">
        <v>2</v>
      </c>
      <c r="P501" s="50" t="s">
        <v>75</v>
      </c>
      <c r="Q501" s="51">
        <v>1548</v>
      </c>
    </row>
    <row r="502" spans="12:17">
      <c r="L502" s="36" t="str">
        <f t="shared" si="31"/>
        <v>P1S2A44</v>
      </c>
      <c r="M502" s="49">
        <v>1</v>
      </c>
      <c r="N502" s="49">
        <v>1</v>
      </c>
      <c r="O502" s="49">
        <v>2</v>
      </c>
      <c r="P502" s="50" t="s">
        <v>76</v>
      </c>
      <c r="Q502" s="51">
        <v>1548</v>
      </c>
    </row>
    <row r="503" spans="12:17">
      <c r="L503" s="36" t="str">
        <f t="shared" si="31"/>
        <v>P1S2A45</v>
      </c>
      <c r="M503" s="49">
        <v>1</v>
      </c>
      <c r="N503" s="49">
        <v>1</v>
      </c>
      <c r="O503" s="49">
        <v>2</v>
      </c>
      <c r="P503" s="50" t="s">
        <v>77</v>
      </c>
      <c r="Q503" s="51">
        <v>1842</v>
      </c>
    </row>
    <row r="504" spans="12:17">
      <c r="L504" s="36" t="str">
        <f t="shared" si="31"/>
        <v>P1S2A46</v>
      </c>
      <c r="M504" s="49">
        <v>1</v>
      </c>
      <c r="N504" s="49">
        <v>1</v>
      </c>
      <c r="O504" s="49">
        <v>2</v>
      </c>
      <c r="P504" s="50" t="s">
        <v>78</v>
      </c>
      <c r="Q504" s="51">
        <v>1842</v>
      </c>
    </row>
    <row r="505" spans="12:17">
      <c r="L505" s="36" t="str">
        <f t="shared" si="31"/>
        <v>P1S2A47</v>
      </c>
      <c r="M505" s="49">
        <v>1</v>
      </c>
      <c r="N505" s="49">
        <v>1</v>
      </c>
      <c r="O505" s="49">
        <v>2</v>
      </c>
      <c r="P505" s="50" t="s">
        <v>79</v>
      </c>
      <c r="Q505" s="51">
        <v>1842</v>
      </c>
    </row>
    <row r="506" spans="12:17">
      <c r="L506" s="36" t="str">
        <f t="shared" si="31"/>
        <v>P1S2A48</v>
      </c>
      <c r="M506" s="49">
        <v>1</v>
      </c>
      <c r="N506" s="49">
        <v>1</v>
      </c>
      <c r="O506" s="49">
        <v>2</v>
      </c>
      <c r="P506" s="50" t="s">
        <v>80</v>
      </c>
      <c r="Q506" s="51">
        <v>1842</v>
      </c>
    </row>
    <row r="507" spans="12:17">
      <c r="L507" s="36" t="str">
        <f t="shared" si="31"/>
        <v>P1S2A49</v>
      </c>
      <c r="M507" s="49">
        <v>1</v>
      </c>
      <c r="N507" s="49">
        <v>1</v>
      </c>
      <c r="O507" s="49">
        <v>2</v>
      </c>
      <c r="P507" s="50" t="s">
        <v>81</v>
      </c>
      <c r="Q507" s="51">
        <v>1842</v>
      </c>
    </row>
    <row r="508" spans="12:17">
      <c r="L508" s="36" t="str">
        <f t="shared" si="31"/>
        <v>P1S2A50</v>
      </c>
      <c r="M508" s="49">
        <v>1</v>
      </c>
      <c r="N508" s="49">
        <v>1</v>
      </c>
      <c r="O508" s="49">
        <v>2</v>
      </c>
      <c r="P508" s="50" t="s">
        <v>82</v>
      </c>
      <c r="Q508" s="51">
        <v>2103</v>
      </c>
    </row>
    <row r="509" spans="12:17">
      <c r="L509" s="36" t="str">
        <f t="shared" si="31"/>
        <v>P1S2A51</v>
      </c>
      <c r="M509" s="49">
        <v>1</v>
      </c>
      <c r="N509" s="49">
        <v>1</v>
      </c>
      <c r="O509" s="49">
        <v>2</v>
      </c>
      <c r="P509" s="50" t="s">
        <v>83</v>
      </c>
      <c r="Q509" s="51">
        <v>2103</v>
      </c>
    </row>
    <row r="510" spans="12:17">
      <c r="L510" s="36" t="str">
        <f t="shared" si="31"/>
        <v>P1S2A52</v>
      </c>
      <c r="M510" s="49">
        <v>1</v>
      </c>
      <c r="N510" s="49">
        <v>1</v>
      </c>
      <c r="O510" s="49">
        <v>2</v>
      </c>
      <c r="P510" s="50" t="s">
        <v>84</v>
      </c>
      <c r="Q510" s="51">
        <v>2103</v>
      </c>
    </row>
    <row r="511" spans="12:17">
      <c r="L511" s="36" t="str">
        <f t="shared" si="31"/>
        <v>P1S2A53</v>
      </c>
      <c r="M511" s="49">
        <v>1</v>
      </c>
      <c r="N511" s="49">
        <v>1</v>
      </c>
      <c r="O511" s="49">
        <v>2</v>
      </c>
      <c r="P511" s="50" t="s">
        <v>85</v>
      </c>
      <c r="Q511" s="51">
        <v>2103</v>
      </c>
    </row>
    <row r="512" spans="12:17">
      <c r="L512" s="36" t="str">
        <f t="shared" si="31"/>
        <v>P1S2A54</v>
      </c>
      <c r="M512" s="49">
        <v>1</v>
      </c>
      <c r="N512" s="49">
        <v>1</v>
      </c>
      <c r="O512" s="49">
        <v>2</v>
      </c>
      <c r="P512" s="50" t="s">
        <v>86</v>
      </c>
      <c r="Q512" s="51">
        <v>2103</v>
      </c>
    </row>
    <row r="513" spans="12:17">
      <c r="L513" s="36" t="str">
        <f t="shared" si="31"/>
        <v>P1S2A55</v>
      </c>
      <c r="M513" s="49">
        <v>1</v>
      </c>
      <c r="N513" s="49">
        <v>1</v>
      </c>
      <c r="O513" s="49">
        <v>2</v>
      </c>
      <c r="P513" s="50" t="s">
        <v>87</v>
      </c>
      <c r="Q513" s="51">
        <v>2455</v>
      </c>
    </row>
    <row r="514" spans="12:17">
      <c r="L514" s="36" t="str">
        <f t="shared" ref="L514:L577" si="32">"P"&amp;M514&amp;"S"&amp;O514&amp;"A"&amp;REPT("0",2-LEN(P514))&amp;P514</f>
        <v>P1S2A56</v>
      </c>
      <c r="M514" s="49">
        <v>1</v>
      </c>
      <c r="N514" s="49">
        <v>1</v>
      </c>
      <c r="O514" s="49">
        <v>2</v>
      </c>
      <c r="P514" s="50" t="s">
        <v>88</v>
      </c>
      <c r="Q514" s="51">
        <v>2455</v>
      </c>
    </row>
    <row r="515" spans="12:17">
      <c r="L515" s="36" t="str">
        <f t="shared" si="32"/>
        <v>P1S2A57</v>
      </c>
      <c r="M515" s="49">
        <v>1</v>
      </c>
      <c r="N515" s="49">
        <v>1</v>
      </c>
      <c r="O515" s="49">
        <v>2</v>
      </c>
      <c r="P515" s="50" t="s">
        <v>89</v>
      </c>
      <c r="Q515" s="51">
        <v>2455</v>
      </c>
    </row>
    <row r="516" spans="12:17">
      <c r="L516" s="36" t="str">
        <f t="shared" si="32"/>
        <v>P1S2A58</v>
      </c>
      <c r="M516" s="49">
        <v>1</v>
      </c>
      <c r="N516" s="49">
        <v>1</v>
      </c>
      <c r="O516" s="49">
        <v>2</v>
      </c>
      <c r="P516" s="50" t="s">
        <v>90</v>
      </c>
      <c r="Q516" s="51">
        <v>2455</v>
      </c>
    </row>
    <row r="517" spans="12:17">
      <c r="L517" s="36" t="str">
        <f t="shared" si="32"/>
        <v>P1S2A59</v>
      </c>
      <c r="M517" s="49">
        <v>1</v>
      </c>
      <c r="N517" s="49">
        <v>1</v>
      </c>
      <c r="O517" s="49">
        <v>2</v>
      </c>
      <c r="P517" s="50" t="s">
        <v>91</v>
      </c>
      <c r="Q517" s="51">
        <v>2455</v>
      </c>
    </row>
    <row r="518" spans="12:17">
      <c r="L518" s="36" t="str">
        <f t="shared" si="32"/>
        <v>P1S2A60</v>
      </c>
      <c r="M518" s="49">
        <v>1</v>
      </c>
      <c r="N518" s="49">
        <v>1</v>
      </c>
      <c r="O518" s="49">
        <v>2</v>
      </c>
      <c r="P518" s="50" t="s">
        <v>92</v>
      </c>
      <c r="Q518" s="51">
        <v>2968</v>
      </c>
    </row>
    <row r="519" spans="12:17">
      <c r="L519" s="36" t="str">
        <f t="shared" si="32"/>
        <v>P1S2A61</v>
      </c>
      <c r="M519" s="49">
        <v>1</v>
      </c>
      <c r="N519" s="49">
        <v>1</v>
      </c>
      <c r="O519" s="49">
        <v>2</v>
      </c>
      <c r="P519" s="50" t="s">
        <v>93</v>
      </c>
      <c r="Q519" s="51">
        <v>2968</v>
      </c>
    </row>
    <row r="520" spans="12:17">
      <c r="L520" s="36" t="str">
        <f t="shared" si="32"/>
        <v>P1S2A62</v>
      </c>
      <c r="M520" s="49">
        <v>1</v>
      </c>
      <c r="N520" s="49">
        <v>1</v>
      </c>
      <c r="O520" s="49">
        <v>2</v>
      </c>
      <c r="P520" s="50" t="s">
        <v>94</v>
      </c>
      <c r="Q520" s="51">
        <v>2968</v>
      </c>
    </row>
    <row r="521" spans="12:17">
      <c r="L521" s="36" t="str">
        <f t="shared" si="32"/>
        <v>P1S2A63</v>
      </c>
      <c r="M521" s="49">
        <v>1</v>
      </c>
      <c r="N521" s="49">
        <v>1</v>
      </c>
      <c r="O521" s="49">
        <v>2</v>
      </c>
      <c r="P521" s="50" t="s">
        <v>95</v>
      </c>
      <c r="Q521" s="51">
        <v>2968</v>
      </c>
    </row>
    <row r="522" spans="12:17">
      <c r="L522" s="36" t="str">
        <f t="shared" si="32"/>
        <v>P1S2A64</v>
      </c>
      <c r="M522" s="49">
        <v>1</v>
      </c>
      <c r="N522" s="49">
        <v>1</v>
      </c>
      <c r="O522" s="49">
        <v>2</v>
      </c>
      <c r="P522" s="50" t="s">
        <v>96</v>
      </c>
      <c r="Q522" s="51">
        <v>2968</v>
      </c>
    </row>
    <row r="523" spans="12:17">
      <c r="L523" s="36" t="str">
        <f t="shared" si="32"/>
        <v>P1S2A65</v>
      </c>
      <c r="M523" s="49">
        <v>1</v>
      </c>
      <c r="N523" s="49">
        <v>1</v>
      </c>
      <c r="O523" s="49">
        <v>2</v>
      </c>
      <c r="P523" s="50" t="s">
        <v>97</v>
      </c>
      <c r="Q523" s="51">
        <v>3926</v>
      </c>
    </row>
    <row r="524" spans="12:17">
      <c r="L524" s="36" t="str">
        <f t="shared" si="32"/>
        <v>P1S2A66</v>
      </c>
      <c r="M524" s="49">
        <v>1</v>
      </c>
      <c r="N524" s="49">
        <v>1</v>
      </c>
      <c r="O524" s="49">
        <v>2</v>
      </c>
      <c r="P524" s="50" t="s">
        <v>98</v>
      </c>
      <c r="Q524" s="51">
        <v>3926</v>
      </c>
    </row>
    <row r="525" spans="12:17">
      <c r="L525" s="36" t="str">
        <f t="shared" si="32"/>
        <v>P1S2A67</v>
      </c>
      <c r="M525" s="49">
        <v>1</v>
      </c>
      <c r="N525" s="49">
        <v>1</v>
      </c>
      <c r="O525" s="49">
        <v>2</v>
      </c>
      <c r="P525" s="50" t="s">
        <v>99</v>
      </c>
      <c r="Q525" s="51">
        <v>3926</v>
      </c>
    </row>
    <row r="526" spans="12:17">
      <c r="L526" s="36" t="str">
        <f t="shared" si="32"/>
        <v>P1S2A68</v>
      </c>
      <c r="M526" s="49">
        <v>1</v>
      </c>
      <c r="N526" s="49">
        <v>1</v>
      </c>
      <c r="O526" s="49">
        <v>2</v>
      </c>
      <c r="P526" s="50" t="s">
        <v>100</v>
      </c>
      <c r="Q526" s="51">
        <v>3926</v>
      </c>
    </row>
    <row r="527" spans="12:17">
      <c r="L527" s="36" t="str">
        <f t="shared" si="32"/>
        <v>P1S2A69</v>
      </c>
      <c r="M527" s="49">
        <v>1</v>
      </c>
      <c r="N527" s="49">
        <v>1</v>
      </c>
      <c r="O527" s="49">
        <v>2</v>
      </c>
      <c r="P527" s="50" t="s">
        <v>101</v>
      </c>
      <c r="Q527" s="51">
        <v>3926</v>
      </c>
    </row>
    <row r="528" spans="12:17">
      <c r="L528" s="36" t="str">
        <f t="shared" si="32"/>
        <v>P1S2A70</v>
      </c>
      <c r="M528" s="49">
        <v>1</v>
      </c>
      <c r="N528" s="49">
        <v>1</v>
      </c>
      <c r="O528" s="49">
        <v>2</v>
      </c>
      <c r="P528" s="50" t="s">
        <v>102</v>
      </c>
      <c r="Q528" s="51">
        <v>5053</v>
      </c>
    </row>
    <row r="529" spans="12:17">
      <c r="L529" s="36" t="str">
        <f t="shared" si="32"/>
        <v>P1S2A71</v>
      </c>
      <c r="M529" s="49">
        <v>1</v>
      </c>
      <c r="N529" s="49">
        <v>1</v>
      </c>
      <c r="O529" s="49">
        <v>2</v>
      </c>
      <c r="P529" s="50" t="s">
        <v>103</v>
      </c>
      <c r="Q529" s="51">
        <v>5053</v>
      </c>
    </row>
    <row r="530" spans="12:17">
      <c r="L530" s="36" t="str">
        <f t="shared" si="32"/>
        <v>P1S2A72</v>
      </c>
      <c r="M530" s="49">
        <v>1</v>
      </c>
      <c r="N530" s="49">
        <v>1</v>
      </c>
      <c r="O530" s="49">
        <v>2</v>
      </c>
      <c r="P530" s="50" t="s">
        <v>104</v>
      </c>
      <c r="Q530" s="51">
        <v>5053</v>
      </c>
    </row>
    <row r="531" spans="12:17">
      <c r="L531" s="36" t="str">
        <f t="shared" si="32"/>
        <v>P1S2A73</v>
      </c>
      <c r="M531" s="49">
        <v>1</v>
      </c>
      <c r="N531" s="49">
        <v>1</v>
      </c>
      <c r="O531" s="49">
        <v>2</v>
      </c>
      <c r="P531" s="50" t="s">
        <v>105</v>
      </c>
      <c r="Q531" s="51">
        <v>5053</v>
      </c>
    </row>
    <row r="532" spans="12:17">
      <c r="L532" s="36" t="str">
        <f t="shared" si="32"/>
        <v>P1S2A74</v>
      </c>
      <c r="M532" s="49">
        <v>1</v>
      </c>
      <c r="N532" s="49">
        <v>1</v>
      </c>
      <c r="O532" s="49">
        <v>2</v>
      </c>
      <c r="P532" s="50" t="s">
        <v>106</v>
      </c>
      <c r="Q532" s="51">
        <v>5053</v>
      </c>
    </row>
    <row r="533" spans="12:17">
      <c r="L533" s="36" t="str">
        <f t="shared" si="32"/>
        <v>P1S2A75</v>
      </c>
      <c r="M533" s="49">
        <v>1</v>
      </c>
      <c r="N533" s="49">
        <v>1</v>
      </c>
      <c r="O533" s="49">
        <v>2</v>
      </c>
      <c r="P533" s="50" t="s">
        <v>107</v>
      </c>
      <c r="Q533" s="51">
        <v>5053</v>
      </c>
    </row>
    <row r="534" spans="12:17">
      <c r="L534" s="36" t="str">
        <f t="shared" si="32"/>
        <v>P2S2A00</v>
      </c>
      <c r="M534" s="49">
        <v>2</v>
      </c>
      <c r="N534" s="49">
        <v>1</v>
      </c>
      <c r="O534" s="49">
        <v>2</v>
      </c>
      <c r="P534" s="50" t="s">
        <v>32</v>
      </c>
      <c r="Q534" s="51">
        <v>2031</v>
      </c>
    </row>
    <row r="535" spans="12:17">
      <c r="L535" s="36" t="str">
        <f t="shared" si="32"/>
        <v>P2S2A01</v>
      </c>
      <c r="M535" s="49">
        <v>2</v>
      </c>
      <c r="N535" s="49">
        <v>1</v>
      </c>
      <c r="O535" s="49">
        <v>2</v>
      </c>
      <c r="P535" s="50" t="s">
        <v>33</v>
      </c>
      <c r="Q535" s="51">
        <v>2031</v>
      </c>
    </row>
    <row r="536" spans="12:17">
      <c r="L536" s="36" t="str">
        <f t="shared" si="32"/>
        <v>P2S2A02</v>
      </c>
      <c r="M536" s="49">
        <v>2</v>
      </c>
      <c r="N536" s="49">
        <v>1</v>
      </c>
      <c r="O536" s="49">
        <v>2</v>
      </c>
      <c r="P536" s="50" t="s">
        <v>34</v>
      </c>
      <c r="Q536" s="51">
        <v>2031</v>
      </c>
    </row>
    <row r="537" spans="12:17">
      <c r="L537" s="36" t="str">
        <f t="shared" si="32"/>
        <v>P2S2A03</v>
      </c>
      <c r="M537" s="49">
        <v>2</v>
      </c>
      <c r="N537" s="49">
        <v>1</v>
      </c>
      <c r="O537" s="49">
        <v>2</v>
      </c>
      <c r="P537" s="50" t="s">
        <v>35</v>
      </c>
      <c r="Q537" s="51">
        <v>2031</v>
      </c>
    </row>
    <row r="538" spans="12:17">
      <c r="L538" s="36" t="str">
        <f t="shared" si="32"/>
        <v>P2S2A04</v>
      </c>
      <c r="M538" s="49">
        <v>2</v>
      </c>
      <c r="N538" s="49">
        <v>1</v>
      </c>
      <c r="O538" s="49">
        <v>2</v>
      </c>
      <c r="P538" s="50" t="s">
        <v>36</v>
      </c>
      <c r="Q538" s="51">
        <v>2031</v>
      </c>
    </row>
    <row r="539" spans="12:17">
      <c r="L539" s="36" t="str">
        <f t="shared" si="32"/>
        <v>P2S2A05</v>
      </c>
      <c r="M539" s="49">
        <v>2</v>
      </c>
      <c r="N539" s="49">
        <v>1</v>
      </c>
      <c r="O539" s="49">
        <v>2</v>
      </c>
      <c r="P539" s="50" t="s">
        <v>37</v>
      </c>
      <c r="Q539" s="51">
        <v>2031</v>
      </c>
    </row>
    <row r="540" spans="12:17">
      <c r="L540" s="36" t="str">
        <f t="shared" si="32"/>
        <v>P2S2A06</v>
      </c>
      <c r="M540" s="49">
        <v>2</v>
      </c>
      <c r="N540" s="49">
        <v>1</v>
      </c>
      <c r="O540" s="49">
        <v>2</v>
      </c>
      <c r="P540" s="50" t="s">
        <v>38</v>
      </c>
      <c r="Q540" s="51">
        <v>2031</v>
      </c>
    </row>
    <row r="541" spans="12:17">
      <c r="L541" s="36" t="str">
        <f t="shared" si="32"/>
        <v>P2S2A07</v>
      </c>
      <c r="M541" s="49">
        <v>2</v>
      </c>
      <c r="N541" s="49">
        <v>1</v>
      </c>
      <c r="O541" s="49">
        <v>2</v>
      </c>
      <c r="P541" s="50" t="s">
        <v>39</v>
      </c>
      <c r="Q541" s="51">
        <v>2031</v>
      </c>
    </row>
    <row r="542" spans="12:17">
      <c r="L542" s="36" t="str">
        <f t="shared" si="32"/>
        <v>P2S2A08</v>
      </c>
      <c r="M542" s="49">
        <v>2</v>
      </c>
      <c r="N542" s="49">
        <v>1</v>
      </c>
      <c r="O542" s="49">
        <v>2</v>
      </c>
      <c r="P542" s="50" t="s">
        <v>40</v>
      </c>
      <c r="Q542" s="51">
        <v>2031</v>
      </c>
    </row>
    <row r="543" spans="12:17">
      <c r="L543" s="36" t="str">
        <f t="shared" si="32"/>
        <v>P2S2A09</v>
      </c>
      <c r="M543" s="49">
        <v>2</v>
      </c>
      <c r="N543" s="49">
        <v>1</v>
      </c>
      <c r="O543" s="49">
        <v>2</v>
      </c>
      <c r="P543" s="50" t="s">
        <v>41</v>
      </c>
      <c r="Q543" s="51">
        <v>2031</v>
      </c>
    </row>
    <row r="544" spans="12:17">
      <c r="L544" s="36" t="str">
        <f t="shared" si="32"/>
        <v>P2S2A10</v>
      </c>
      <c r="M544" s="49">
        <v>2</v>
      </c>
      <c r="N544" s="49">
        <v>1</v>
      </c>
      <c r="O544" s="49">
        <v>2</v>
      </c>
      <c r="P544" s="50" t="s">
        <v>42</v>
      </c>
      <c r="Q544" s="51">
        <v>2031</v>
      </c>
    </row>
    <row r="545" spans="12:17">
      <c r="L545" s="36" t="str">
        <f t="shared" si="32"/>
        <v>P2S2A11</v>
      </c>
      <c r="M545" s="49">
        <v>2</v>
      </c>
      <c r="N545" s="49">
        <v>1</v>
      </c>
      <c r="O545" s="49">
        <v>2</v>
      </c>
      <c r="P545" s="50" t="s">
        <v>43</v>
      </c>
      <c r="Q545" s="51">
        <v>2031</v>
      </c>
    </row>
    <row r="546" spans="12:17">
      <c r="L546" s="36" t="str">
        <f t="shared" si="32"/>
        <v>P2S2A12</v>
      </c>
      <c r="M546" s="49">
        <v>2</v>
      </c>
      <c r="N546" s="49">
        <v>1</v>
      </c>
      <c r="O546" s="49">
        <v>2</v>
      </c>
      <c r="P546" s="50" t="s">
        <v>44</v>
      </c>
      <c r="Q546" s="51">
        <v>2031</v>
      </c>
    </row>
    <row r="547" spans="12:17">
      <c r="L547" s="36" t="str">
        <f t="shared" si="32"/>
        <v>P2S2A13</v>
      </c>
      <c r="M547" s="49">
        <v>2</v>
      </c>
      <c r="N547" s="49">
        <v>1</v>
      </c>
      <c r="O547" s="49">
        <v>2</v>
      </c>
      <c r="P547" s="50" t="s">
        <v>45</v>
      </c>
      <c r="Q547" s="51">
        <v>2031</v>
      </c>
    </row>
    <row r="548" spans="12:17">
      <c r="L548" s="36" t="str">
        <f t="shared" si="32"/>
        <v>P2S2A14</v>
      </c>
      <c r="M548" s="49">
        <v>2</v>
      </c>
      <c r="N548" s="49">
        <v>1</v>
      </c>
      <c r="O548" s="49">
        <v>2</v>
      </c>
      <c r="P548" s="50" t="s">
        <v>46</v>
      </c>
      <c r="Q548" s="51">
        <v>2031</v>
      </c>
    </row>
    <row r="549" spans="12:17">
      <c r="L549" s="36" t="str">
        <f t="shared" si="32"/>
        <v>P2S2A15</v>
      </c>
      <c r="M549" s="49">
        <v>2</v>
      </c>
      <c r="N549" s="49">
        <v>1</v>
      </c>
      <c r="O549" s="49">
        <v>2</v>
      </c>
      <c r="P549" s="50" t="s">
        <v>47</v>
      </c>
      <c r="Q549" s="51">
        <v>971</v>
      </c>
    </row>
    <row r="550" spans="12:17">
      <c r="L550" s="36" t="str">
        <f t="shared" si="32"/>
        <v>P2S2A16</v>
      </c>
      <c r="M550" s="49">
        <v>2</v>
      </c>
      <c r="N550" s="49">
        <v>1</v>
      </c>
      <c r="O550" s="49">
        <v>2</v>
      </c>
      <c r="P550" s="50" t="s">
        <v>48</v>
      </c>
      <c r="Q550" s="51">
        <v>971</v>
      </c>
    </row>
    <row r="551" spans="12:17">
      <c r="L551" s="36" t="str">
        <f t="shared" si="32"/>
        <v>P2S2A17</v>
      </c>
      <c r="M551" s="49">
        <v>2</v>
      </c>
      <c r="N551" s="49">
        <v>1</v>
      </c>
      <c r="O551" s="49">
        <v>2</v>
      </c>
      <c r="P551" s="50" t="s">
        <v>49</v>
      </c>
      <c r="Q551" s="51">
        <v>971</v>
      </c>
    </row>
    <row r="552" spans="12:17">
      <c r="L552" s="36" t="str">
        <f t="shared" si="32"/>
        <v>P2S2A18</v>
      </c>
      <c r="M552" s="49">
        <v>2</v>
      </c>
      <c r="N552" s="49">
        <v>1</v>
      </c>
      <c r="O552" s="49">
        <v>2</v>
      </c>
      <c r="P552" s="50" t="s">
        <v>50</v>
      </c>
      <c r="Q552" s="51">
        <v>971</v>
      </c>
    </row>
    <row r="553" spans="12:17">
      <c r="L553" s="36" t="str">
        <f t="shared" si="32"/>
        <v>P2S2A19</v>
      </c>
      <c r="M553" s="49">
        <v>2</v>
      </c>
      <c r="N553" s="49">
        <v>1</v>
      </c>
      <c r="O553" s="49">
        <v>2</v>
      </c>
      <c r="P553" s="50" t="s">
        <v>51</v>
      </c>
      <c r="Q553" s="51">
        <v>971</v>
      </c>
    </row>
    <row r="554" spans="12:17">
      <c r="L554" s="36" t="str">
        <f t="shared" si="32"/>
        <v>P2S2A20</v>
      </c>
      <c r="M554" s="49">
        <v>2</v>
      </c>
      <c r="N554" s="49">
        <v>1</v>
      </c>
      <c r="O554" s="49">
        <v>2</v>
      </c>
      <c r="P554" s="50" t="s">
        <v>52</v>
      </c>
      <c r="Q554" s="51">
        <v>1338</v>
      </c>
    </row>
    <row r="555" spans="12:17">
      <c r="L555" s="36" t="str">
        <f t="shared" si="32"/>
        <v>P2S2A21</v>
      </c>
      <c r="M555" s="49">
        <v>2</v>
      </c>
      <c r="N555" s="49">
        <v>1</v>
      </c>
      <c r="O555" s="49">
        <v>2</v>
      </c>
      <c r="P555" s="50" t="s">
        <v>53</v>
      </c>
      <c r="Q555" s="51">
        <v>1338</v>
      </c>
    </row>
    <row r="556" spans="12:17">
      <c r="L556" s="36" t="str">
        <f t="shared" si="32"/>
        <v>P2S2A22</v>
      </c>
      <c r="M556" s="49">
        <v>2</v>
      </c>
      <c r="N556" s="49">
        <v>1</v>
      </c>
      <c r="O556" s="49">
        <v>2</v>
      </c>
      <c r="P556" s="50" t="s">
        <v>54</v>
      </c>
      <c r="Q556" s="51">
        <v>1338</v>
      </c>
    </row>
    <row r="557" spans="12:17">
      <c r="L557" s="36" t="str">
        <f t="shared" si="32"/>
        <v>P2S2A23</v>
      </c>
      <c r="M557" s="49">
        <v>2</v>
      </c>
      <c r="N557" s="49">
        <v>1</v>
      </c>
      <c r="O557" s="49">
        <v>2</v>
      </c>
      <c r="P557" s="50" t="s">
        <v>55</v>
      </c>
      <c r="Q557" s="51">
        <v>1338</v>
      </c>
    </row>
    <row r="558" spans="12:17">
      <c r="L558" s="36" t="str">
        <f t="shared" si="32"/>
        <v>P2S2A24</v>
      </c>
      <c r="M558" s="49">
        <v>2</v>
      </c>
      <c r="N558" s="49">
        <v>1</v>
      </c>
      <c r="O558" s="49">
        <v>2</v>
      </c>
      <c r="P558" s="50" t="s">
        <v>56</v>
      </c>
      <c r="Q558" s="51">
        <v>1338</v>
      </c>
    </row>
    <row r="559" spans="12:17">
      <c r="L559" s="36" t="str">
        <f t="shared" si="32"/>
        <v>P2S2A25</v>
      </c>
      <c r="M559" s="49">
        <v>2</v>
      </c>
      <c r="N559" s="49">
        <v>1</v>
      </c>
      <c r="O559" s="49">
        <v>2</v>
      </c>
      <c r="P559" s="50" t="s">
        <v>57</v>
      </c>
      <c r="Q559" s="51">
        <v>2172</v>
      </c>
    </row>
    <row r="560" spans="12:17">
      <c r="L560" s="36" t="str">
        <f t="shared" si="32"/>
        <v>P2S2A26</v>
      </c>
      <c r="M560" s="49">
        <v>2</v>
      </c>
      <c r="N560" s="49">
        <v>1</v>
      </c>
      <c r="O560" s="49">
        <v>2</v>
      </c>
      <c r="P560" s="50" t="s">
        <v>58</v>
      </c>
      <c r="Q560" s="51">
        <v>2172</v>
      </c>
    </row>
    <row r="561" spans="12:17">
      <c r="L561" s="36" t="str">
        <f t="shared" si="32"/>
        <v>P2S2A27</v>
      </c>
      <c r="M561" s="49">
        <v>2</v>
      </c>
      <c r="N561" s="49">
        <v>1</v>
      </c>
      <c r="O561" s="49">
        <v>2</v>
      </c>
      <c r="P561" s="50" t="s">
        <v>59</v>
      </c>
      <c r="Q561" s="51">
        <v>2172</v>
      </c>
    </row>
    <row r="562" spans="12:17">
      <c r="L562" s="36" t="str">
        <f t="shared" si="32"/>
        <v>P2S2A28</v>
      </c>
      <c r="M562" s="49">
        <v>2</v>
      </c>
      <c r="N562" s="49">
        <v>1</v>
      </c>
      <c r="O562" s="49">
        <v>2</v>
      </c>
      <c r="P562" s="50" t="s">
        <v>60</v>
      </c>
      <c r="Q562" s="51">
        <v>2172</v>
      </c>
    </row>
    <row r="563" spans="12:17">
      <c r="L563" s="36" t="str">
        <f t="shared" si="32"/>
        <v>P2S2A29</v>
      </c>
      <c r="M563" s="49">
        <v>2</v>
      </c>
      <c r="N563" s="49">
        <v>1</v>
      </c>
      <c r="O563" s="49">
        <v>2</v>
      </c>
      <c r="P563" s="50" t="s">
        <v>61</v>
      </c>
      <c r="Q563" s="51">
        <v>2172</v>
      </c>
    </row>
    <row r="564" spans="12:17">
      <c r="L564" s="36" t="str">
        <f t="shared" si="32"/>
        <v>P2S2A30</v>
      </c>
      <c r="M564" s="49">
        <v>2</v>
      </c>
      <c r="N564" s="49">
        <v>1</v>
      </c>
      <c r="O564" s="49">
        <v>2</v>
      </c>
      <c r="P564" s="50" t="s">
        <v>62</v>
      </c>
      <c r="Q564" s="51">
        <v>2835</v>
      </c>
    </row>
    <row r="565" spans="12:17">
      <c r="L565" s="36" t="str">
        <f t="shared" si="32"/>
        <v>P2S2A31</v>
      </c>
      <c r="M565" s="49">
        <v>2</v>
      </c>
      <c r="N565" s="49">
        <v>1</v>
      </c>
      <c r="O565" s="49">
        <v>2</v>
      </c>
      <c r="P565" s="50" t="s">
        <v>63</v>
      </c>
      <c r="Q565" s="51">
        <v>2835</v>
      </c>
    </row>
    <row r="566" spans="12:17">
      <c r="L566" s="36" t="str">
        <f t="shared" si="32"/>
        <v>P2S2A32</v>
      </c>
      <c r="M566" s="49">
        <v>2</v>
      </c>
      <c r="N566" s="49">
        <v>1</v>
      </c>
      <c r="O566" s="49">
        <v>2</v>
      </c>
      <c r="P566" s="50" t="s">
        <v>64</v>
      </c>
      <c r="Q566" s="51">
        <v>2835</v>
      </c>
    </row>
    <row r="567" spans="12:17">
      <c r="L567" s="36" t="str">
        <f t="shared" si="32"/>
        <v>P2S2A33</v>
      </c>
      <c r="M567" s="49">
        <v>2</v>
      </c>
      <c r="N567" s="49">
        <v>1</v>
      </c>
      <c r="O567" s="49">
        <v>2</v>
      </c>
      <c r="P567" s="50" t="s">
        <v>65</v>
      </c>
      <c r="Q567" s="51">
        <v>2835</v>
      </c>
    </row>
    <row r="568" spans="12:17">
      <c r="L568" s="36" t="str">
        <f t="shared" si="32"/>
        <v>P2S2A34</v>
      </c>
      <c r="M568" s="49">
        <v>2</v>
      </c>
      <c r="N568" s="49">
        <v>1</v>
      </c>
      <c r="O568" s="49">
        <v>2</v>
      </c>
      <c r="P568" s="50" t="s">
        <v>66</v>
      </c>
      <c r="Q568" s="51">
        <v>2835</v>
      </c>
    </row>
    <row r="569" spans="12:17">
      <c r="L569" s="36" t="str">
        <f t="shared" si="32"/>
        <v>P2S2A35</v>
      </c>
      <c r="M569" s="49">
        <v>2</v>
      </c>
      <c r="N569" s="49">
        <v>1</v>
      </c>
      <c r="O569" s="49">
        <v>2</v>
      </c>
      <c r="P569" s="50" t="s">
        <v>67</v>
      </c>
      <c r="Q569" s="51">
        <v>2963</v>
      </c>
    </row>
    <row r="570" spans="12:17">
      <c r="L570" s="36" t="str">
        <f t="shared" si="32"/>
        <v>P2S2A36</v>
      </c>
      <c r="M570" s="49">
        <v>2</v>
      </c>
      <c r="N570" s="49">
        <v>1</v>
      </c>
      <c r="O570" s="49">
        <v>2</v>
      </c>
      <c r="P570" s="50" t="s">
        <v>68</v>
      </c>
      <c r="Q570" s="51">
        <v>2963</v>
      </c>
    </row>
    <row r="571" spans="12:17">
      <c r="L571" s="36" t="str">
        <f t="shared" si="32"/>
        <v>P2S2A37</v>
      </c>
      <c r="M571" s="49">
        <v>2</v>
      </c>
      <c r="N571" s="49">
        <v>1</v>
      </c>
      <c r="O571" s="49">
        <v>2</v>
      </c>
      <c r="P571" s="50" t="s">
        <v>69</v>
      </c>
      <c r="Q571" s="51">
        <v>2963</v>
      </c>
    </row>
    <row r="572" spans="12:17">
      <c r="L572" s="36" t="str">
        <f t="shared" si="32"/>
        <v>P2S2A38</v>
      </c>
      <c r="M572" s="49">
        <v>2</v>
      </c>
      <c r="N572" s="49">
        <v>1</v>
      </c>
      <c r="O572" s="49">
        <v>2</v>
      </c>
      <c r="P572" s="50" t="s">
        <v>70</v>
      </c>
      <c r="Q572" s="51">
        <v>2963</v>
      </c>
    </row>
    <row r="573" spans="12:17">
      <c r="L573" s="36" t="str">
        <f t="shared" si="32"/>
        <v>P2S2A39</v>
      </c>
      <c r="M573" s="49">
        <v>2</v>
      </c>
      <c r="N573" s="49">
        <v>1</v>
      </c>
      <c r="O573" s="49">
        <v>2</v>
      </c>
      <c r="P573" s="50" t="s">
        <v>71</v>
      </c>
      <c r="Q573" s="51">
        <v>2963</v>
      </c>
    </row>
    <row r="574" spans="12:17">
      <c r="L574" s="36" t="str">
        <f t="shared" si="32"/>
        <v>P2S2A40</v>
      </c>
      <c r="M574" s="49">
        <v>2</v>
      </c>
      <c r="N574" s="49">
        <v>1</v>
      </c>
      <c r="O574" s="49">
        <v>2</v>
      </c>
      <c r="P574" s="50" t="s">
        <v>72</v>
      </c>
      <c r="Q574" s="51">
        <v>3066</v>
      </c>
    </row>
    <row r="575" spans="12:17">
      <c r="L575" s="36" t="str">
        <f t="shared" si="32"/>
        <v>P2S2A41</v>
      </c>
      <c r="M575" s="49">
        <v>2</v>
      </c>
      <c r="N575" s="49">
        <v>1</v>
      </c>
      <c r="O575" s="49">
        <v>2</v>
      </c>
      <c r="P575" s="50" t="s">
        <v>73</v>
      </c>
      <c r="Q575" s="51">
        <v>3066</v>
      </c>
    </row>
    <row r="576" spans="12:17">
      <c r="L576" s="36" t="str">
        <f t="shared" si="32"/>
        <v>P2S2A42</v>
      </c>
      <c r="M576" s="49">
        <v>2</v>
      </c>
      <c r="N576" s="49">
        <v>1</v>
      </c>
      <c r="O576" s="49">
        <v>2</v>
      </c>
      <c r="P576" s="50" t="s">
        <v>74</v>
      </c>
      <c r="Q576" s="51">
        <v>3066</v>
      </c>
    </row>
    <row r="577" spans="12:17">
      <c r="L577" s="36" t="str">
        <f t="shared" si="32"/>
        <v>P2S2A43</v>
      </c>
      <c r="M577" s="49">
        <v>2</v>
      </c>
      <c r="N577" s="49">
        <v>1</v>
      </c>
      <c r="O577" s="49">
        <v>2</v>
      </c>
      <c r="P577" s="50" t="s">
        <v>75</v>
      </c>
      <c r="Q577" s="51">
        <v>3066</v>
      </c>
    </row>
    <row r="578" spans="12:17">
      <c r="L578" s="36" t="str">
        <f t="shared" ref="L578:L641" si="33">"P"&amp;M578&amp;"S"&amp;O578&amp;"A"&amp;REPT("0",2-LEN(P578))&amp;P578</f>
        <v>P2S2A44</v>
      </c>
      <c r="M578" s="49">
        <v>2</v>
      </c>
      <c r="N578" s="49">
        <v>1</v>
      </c>
      <c r="O578" s="49">
        <v>2</v>
      </c>
      <c r="P578" s="50" t="s">
        <v>76</v>
      </c>
      <c r="Q578" s="51">
        <v>3066</v>
      </c>
    </row>
    <row r="579" spans="12:17">
      <c r="L579" s="36" t="str">
        <f t="shared" si="33"/>
        <v>P2S2A45</v>
      </c>
      <c r="M579" s="49">
        <v>2</v>
      </c>
      <c r="N579" s="49">
        <v>1</v>
      </c>
      <c r="O579" s="49">
        <v>2</v>
      </c>
      <c r="P579" s="50" t="s">
        <v>77</v>
      </c>
      <c r="Q579" s="51">
        <v>3648</v>
      </c>
    </row>
    <row r="580" spans="12:17">
      <c r="L580" s="36" t="str">
        <f t="shared" si="33"/>
        <v>P2S2A46</v>
      </c>
      <c r="M580" s="49">
        <v>2</v>
      </c>
      <c r="N580" s="49">
        <v>1</v>
      </c>
      <c r="O580" s="49">
        <v>2</v>
      </c>
      <c r="P580" s="50" t="s">
        <v>78</v>
      </c>
      <c r="Q580" s="51">
        <v>3648</v>
      </c>
    </row>
    <row r="581" spans="12:17">
      <c r="L581" s="36" t="str">
        <f t="shared" si="33"/>
        <v>P2S2A47</v>
      </c>
      <c r="M581" s="49">
        <v>2</v>
      </c>
      <c r="N581" s="49">
        <v>1</v>
      </c>
      <c r="O581" s="49">
        <v>2</v>
      </c>
      <c r="P581" s="50" t="s">
        <v>79</v>
      </c>
      <c r="Q581" s="51">
        <v>3648</v>
      </c>
    </row>
    <row r="582" spans="12:17">
      <c r="L582" s="36" t="str">
        <f t="shared" si="33"/>
        <v>P2S2A48</v>
      </c>
      <c r="M582" s="49">
        <v>2</v>
      </c>
      <c r="N582" s="49">
        <v>1</v>
      </c>
      <c r="O582" s="49">
        <v>2</v>
      </c>
      <c r="P582" s="50" t="s">
        <v>80</v>
      </c>
      <c r="Q582" s="51">
        <v>3648</v>
      </c>
    </row>
    <row r="583" spans="12:17">
      <c r="L583" s="36" t="str">
        <f t="shared" si="33"/>
        <v>P2S2A49</v>
      </c>
      <c r="M583" s="49">
        <v>2</v>
      </c>
      <c r="N583" s="49">
        <v>1</v>
      </c>
      <c r="O583" s="49">
        <v>2</v>
      </c>
      <c r="P583" s="50" t="s">
        <v>81</v>
      </c>
      <c r="Q583" s="51">
        <v>3648</v>
      </c>
    </row>
    <row r="584" spans="12:17">
      <c r="L584" s="36" t="str">
        <f t="shared" si="33"/>
        <v>P2S2A50</v>
      </c>
      <c r="M584" s="49">
        <v>2</v>
      </c>
      <c r="N584" s="49">
        <v>1</v>
      </c>
      <c r="O584" s="49">
        <v>2</v>
      </c>
      <c r="P584" s="50" t="s">
        <v>82</v>
      </c>
      <c r="Q584" s="51">
        <v>4165</v>
      </c>
    </row>
    <row r="585" spans="12:17">
      <c r="L585" s="36" t="str">
        <f t="shared" si="33"/>
        <v>P2S2A51</v>
      </c>
      <c r="M585" s="49">
        <v>2</v>
      </c>
      <c r="N585" s="49">
        <v>1</v>
      </c>
      <c r="O585" s="49">
        <v>2</v>
      </c>
      <c r="P585" s="50" t="s">
        <v>83</v>
      </c>
      <c r="Q585" s="51">
        <v>4165</v>
      </c>
    </row>
    <row r="586" spans="12:17">
      <c r="L586" s="36" t="str">
        <f t="shared" si="33"/>
        <v>P2S2A52</v>
      </c>
      <c r="M586" s="49">
        <v>2</v>
      </c>
      <c r="N586" s="49">
        <v>1</v>
      </c>
      <c r="O586" s="49">
        <v>2</v>
      </c>
      <c r="P586" s="50" t="s">
        <v>84</v>
      </c>
      <c r="Q586" s="51">
        <v>4165</v>
      </c>
    </row>
    <row r="587" spans="12:17">
      <c r="L587" s="36" t="str">
        <f t="shared" si="33"/>
        <v>P2S2A53</v>
      </c>
      <c r="M587" s="49">
        <v>2</v>
      </c>
      <c r="N587" s="49">
        <v>1</v>
      </c>
      <c r="O587" s="49">
        <v>2</v>
      </c>
      <c r="P587" s="50" t="s">
        <v>85</v>
      </c>
      <c r="Q587" s="51">
        <v>4165</v>
      </c>
    </row>
    <row r="588" spans="12:17">
      <c r="L588" s="36" t="str">
        <f t="shared" si="33"/>
        <v>P2S2A54</v>
      </c>
      <c r="M588" s="49">
        <v>2</v>
      </c>
      <c r="N588" s="49">
        <v>1</v>
      </c>
      <c r="O588" s="49">
        <v>2</v>
      </c>
      <c r="P588" s="50" t="s">
        <v>86</v>
      </c>
      <c r="Q588" s="51">
        <v>4165</v>
      </c>
    </row>
    <row r="589" spans="12:17">
      <c r="L589" s="36" t="str">
        <f t="shared" si="33"/>
        <v>P2S2A55</v>
      </c>
      <c r="M589" s="49">
        <v>2</v>
      </c>
      <c r="N589" s="49">
        <v>1</v>
      </c>
      <c r="O589" s="49">
        <v>2</v>
      </c>
      <c r="P589" s="50" t="s">
        <v>87</v>
      </c>
      <c r="Q589" s="51">
        <v>4862</v>
      </c>
    </row>
    <row r="590" spans="12:17">
      <c r="L590" s="36" t="str">
        <f t="shared" si="33"/>
        <v>P2S2A56</v>
      </c>
      <c r="M590" s="49">
        <v>2</v>
      </c>
      <c r="N590" s="49">
        <v>1</v>
      </c>
      <c r="O590" s="49">
        <v>2</v>
      </c>
      <c r="P590" s="50" t="s">
        <v>88</v>
      </c>
      <c r="Q590" s="51">
        <v>4862</v>
      </c>
    </row>
    <row r="591" spans="12:17">
      <c r="L591" s="36" t="str">
        <f t="shared" si="33"/>
        <v>P2S2A57</v>
      </c>
      <c r="M591" s="49">
        <v>2</v>
      </c>
      <c r="N591" s="49">
        <v>1</v>
      </c>
      <c r="O591" s="49">
        <v>2</v>
      </c>
      <c r="P591" s="50" t="s">
        <v>89</v>
      </c>
      <c r="Q591" s="51">
        <v>4862</v>
      </c>
    </row>
    <row r="592" spans="12:17">
      <c r="L592" s="36" t="str">
        <f t="shared" si="33"/>
        <v>P2S2A58</v>
      </c>
      <c r="M592" s="49">
        <v>2</v>
      </c>
      <c r="N592" s="49">
        <v>1</v>
      </c>
      <c r="O592" s="49">
        <v>2</v>
      </c>
      <c r="P592" s="50" t="s">
        <v>90</v>
      </c>
      <c r="Q592" s="51">
        <v>4862</v>
      </c>
    </row>
    <row r="593" spans="12:17">
      <c r="L593" s="36" t="str">
        <f t="shared" si="33"/>
        <v>P2S2A59</v>
      </c>
      <c r="M593" s="49">
        <v>2</v>
      </c>
      <c r="N593" s="49">
        <v>1</v>
      </c>
      <c r="O593" s="49">
        <v>2</v>
      </c>
      <c r="P593" s="50" t="s">
        <v>91</v>
      </c>
      <c r="Q593" s="51">
        <v>4862</v>
      </c>
    </row>
    <row r="594" spans="12:17">
      <c r="L594" s="36" t="str">
        <f t="shared" si="33"/>
        <v>P2S2A60</v>
      </c>
      <c r="M594" s="49">
        <v>2</v>
      </c>
      <c r="N594" s="49">
        <v>1</v>
      </c>
      <c r="O594" s="49">
        <v>2</v>
      </c>
      <c r="P594" s="50" t="s">
        <v>92</v>
      </c>
      <c r="Q594" s="51">
        <v>5878</v>
      </c>
    </row>
    <row r="595" spans="12:17">
      <c r="L595" s="36" t="str">
        <f t="shared" si="33"/>
        <v>P2S2A61</v>
      </c>
      <c r="M595" s="49">
        <v>2</v>
      </c>
      <c r="N595" s="49">
        <v>1</v>
      </c>
      <c r="O595" s="49">
        <v>2</v>
      </c>
      <c r="P595" s="50" t="s">
        <v>93</v>
      </c>
      <c r="Q595" s="51">
        <v>5878</v>
      </c>
    </row>
    <row r="596" spans="12:17">
      <c r="L596" s="36" t="str">
        <f t="shared" si="33"/>
        <v>P2S2A62</v>
      </c>
      <c r="M596" s="49">
        <v>2</v>
      </c>
      <c r="N596" s="49">
        <v>1</v>
      </c>
      <c r="O596" s="49">
        <v>2</v>
      </c>
      <c r="P596" s="50" t="s">
        <v>94</v>
      </c>
      <c r="Q596" s="51">
        <v>5878</v>
      </c>
    </row>
    <row r="597" spans="12:17">
      <c r="L597" s="36" t="str">
        <f t="shared" si="33"/>
        <v>P2S2A63</v>
      </c>
      <c r="M597" s="49">
        <v>2</v>
      </c>
      <c r="N597" s="49">
        <v>1</v>
      </c>
      <c r="O597" s="49">
        <v>2</v>
      </c>
      <c r="P597" s="50" t="s">
        <v>95</v>
      </c>
      <c r="Q597" s="51">
        <v>5878</v>
      </c>
    </row>
    <row r="598" spans="12:17">
      <c r="L598" s="36" t="str">
        <f t="shared" si="33"/>
        <v>P2S2A64</v>
      </c>
      <c r="M598" s="49">
        <v>2</v>
      </c>
      <c r="N598" s="49">
        <v>1</v>
      </c>
      <c r="O598" s="49">
        <v>2</v>
      </c>
      <c r="P598" s="50" t="s">
        <v>96</v>
      </c>
      <c r="Q598" s="51">
        <v>5878</v>
      </c>
    </row>
    <row r="599" spans="12:17">
      <c r="L599" s="36" t="str">
        <f t="shared" si="33"/>
        <v>P2S2A65</v>
      </c>
      <c r="M599" s="49">
        <v>2</v>
      </c>
      <c r="N599" s="49">
        <v>1</v>
      </c>
      <c r="O599" s="49">
        <v>2</v>
      </c>
      <c r="P599" s="50" t="s">
        <v>97</v>
      </c>
      <c r="Q599" s="51">
        <v>7777</v>
      </c>
    </row>
    <row r="600" spans="12:17">
      <c r="L600" s="36" t="str">
        <f t="shared" si="33"/>
        <v>P2S2A66</v>
      </c>
      <c r="M600" s="49">
        <v>2</v>
      </c>
      <c r="N600" s="49">
        <v>1</v>
      </c>
      <c r="O600" s="49">
        <v>2</v>
      </c>
      <c r="P600" s="50" t="s">
        <v>98</v>
      </c>
      <c r="Q600" s="51">
        <v>7777</v>
      </c>
    </row>
    <row r="601" spans="12:17">
      <c r="L601" s="36" t="str">
        <f t="shared" si="33"/>
        <v>P2S2A67</v>
      </c>
      <c r="M601" s="49">
        <v>2</v>
      </c>
      <c r="N601" s="49">
        <v>1</v>
      </c>
      <c r="O601" s="49">
        <v>2</v>
      </c>
      <c r="P601" s="50" t="s">
        <v>99</v>
      </c>
      <c r="Q601" s="51">
        <v>7777</v>
      </c>
    </row>
    <row r="602" spans="12:17">
      <c r="L602" s="36" t="str">
        <f t="shared" si="33"/>
        <v>P2S2A68</v>
      </c>
      <c r="M602" s="49">
        <v>2</v>
      </c>
      <c r="N602" s="49">
        <v>1</v>
      </c>
      <c r="O602" s="49">
        <v>2</v>
      </c>
      <c r="P602" s="50" t="s">
        <v>100</v>
      </c>
      <c r="Q602" s="51">
        <v>7777</v>
      </c>
    </row>
    <row r="603" spans="12:17">
      <c r="L603" s="36" t="str">
        <f t="shared" si="33"/>
        <v>P2S2A69</v>
      </c>
      <c r="M603" s="49">
        <v>2</v>
      </c>
      <c r="N603" s="49">
        <v>1</v>
      </c>
      <c r="O603" s="49">
        <v>2</v>
      </c>
      <c r="P603" s="50" t="s">
        <v>101</v>
      </c>
      <c r="Q603" s="51">
        <v>7777</v>
      </c>
    </row>
    <row r="604" spans="12:17">
      <c r="L604" s="36" t="str">
        <f t="shared" si="33"/>
        <v>P2S2A70</v>
      </c>
      <c r="M604" s="49">
        <v>2</v>
      </c>
      <c r="N604" s="49">
        <v>1</v>
      </c>
      <c r="O604" s="49">
        <v>2</v>
      </c>
      <c r="P604" s="50" t="s">
        <v>102</v>
      </c>
      <c r="Q604" s="51">
        <v>10009</v>
      </c>
    </row>
    <row r="605" spans="12:17">
      <c r="L605" s="36" t="str">
        <f t="shared" si="33"/>
        <v>P2S2A71</v>
      </c>
      <c r="M605" s="49">
        <v>2</v>
      </c>
      <c r="N605" s="49">
        <v>1</v>
      </c>
      <c r="O605" s="49">
        <v>2</v>
      </c>
      <c r="P605" s="50" t="s">
        <v>103</v>
      </c>
      <c r="Q605" s="51">
        <v>10009</v>
      </c>
    </row>
    <row r="606" spans="12:17">
      <c r="L606" s="36" t="str">
        <f t="shared" si="33"/>
        <v>P2S2A72</v>
      </c>
      <c r="M606" s="49">
        <v>2</v>
      </c>
      <c r="N606" s="49">
        <v>1</v>
      </c>
      <c r="O606" s="49">
        <v>2</v>
      </c>
      <c r="P606" s="50" t="s">
        <v>104</v>
      </c>
      <c r="Q606" s="51">
        <v>10009</v>
      </c>
    </row>
    <row r="607" spans="12:17">
      <c r="L607" s="36" t="str">
        <f t="shared" si="33"/>
        <v>P2S2A73</v>
      </c>
      <c r="M607" s="49">
        <v>2</v>
      </c>
      <c r="N607" s="49">
        <v>1</v>
      </c>
      <c r="O607" s="49">
        <v>2</v>
      </c>
      <c r="P607" s="50" t="s">
        <v>105</v>
      </c>
      <c r="Q607" s="51">
        <v>10009</v>
      </c>
    </row>
    <row r="608" spans="12:17">
      <c r="L608" s="36" t="str">
        <f t="shared" si="33"/>
        <v>P2S2A74</v>
      </c>
      <c r="M608" s="49">
        <v>2</v>
      </c>
      <c r="N608" s="49">
        <v>1</v>
      </c>
      <c r="O608" s="49">
        <v>2</v>
      </c>
      <c r="P608" s="50" t="s">
        <v>106</v>
      </c>
      <c r="Q608" s="51">
        <v>10009</v>
      </c>
    </row>
    <row r="609" spans="12:17">
      <c r="L609" s="36" t="str">
        <f t="shared" si="33"/>
        <v>P2S2A75</v>
      </c>
      <c r="M609" s="49">
        <v>2</v>
      </c>
      <c r="N609" s="49">
        <v>1</v>
      </c>
      <c r="O609" s="49">
        <v>2</v>
      </c>
      <c r="P609" s="50" t="s">
        <v>107</v>
      </c>
      <c r="Q609" s="51">
        <v>10009</v>
      </c>
    </row>
    <row r="610" spans="12:17">
      <c r="L610" s="36" t="str">
        <f t="shared" si="33"/>
        <v>P3S2A00</v>
      </c>
      <c r="M610" s="49">
        <v>3</v>
      </c>
      <c r="N610" s="49">
        <v>1</v>
      </c>
      <c r="O610" s="49">
        <v>2</v>
      </c>
      <c r="P610" s="50" t="s">
        <v>32</v>
      </c>
      <c r="Q610" s="51">
        <v>3017</v>
      </c>
    </row>
    <row r="611" spans="12:17">
      <c r="L611" s="36" t="str">
        <f t="shared" si="33"/>
        <v>P3S2A01</v>
      </c>
      <c r="M611" s="49">
        <v>3</v>
      </c>
      <c r="N611" s="49">
        <v>1</v>
      </c>
      <c r="O611" s="49">
        <v>2</v>
      </c>
      <c r="P611" s="50" t="s">
        <v>33</v>
      </c>
      <c r="Q611" s="51">
        <v>3017</v>
      </c>
    </row>
    <row r="612" spans="12:17">
      <c r="L612" s="36" t="str">
        <f t="shared" si="33"/>
        <v>P3S2A02</v>
      </c>
      <c r="M612" s="49">
        <v>3</v>
      </c>
      <c r="N612" s="49">
        <v>1</v>
      </c>
      <c r="O612" s="49">
        <v>2</v>
      </c>
      <c r="P612" s="50" t="s">
        <v>34</v>
      </c>
      <c r="Q612" s="51">
        <v>3017</v>
      </c>
    </row>
    <row r="613" spans="12:17">
      <c r="L613" s="36" t="str">
        <f t="shared" si="33"/>
        <v>P3S2A03</v>
      </c>
      <c r="M613" s="49">
        <v>3</v>
      </c>
      <c r="N613" s="49">
        <v>1</v>
      </c>
      <c r="O613" s="49">
        <v>2</v>
      </c>
      <c r="P613" s="50" t="s">
        <v>35</v>
      </c>
      <c r="Q613" s="51">
        <v>3017</v>
      </c>
    </row>
    <row r="614" spans="12:17">
      <c r="L614" s="36" t="str">
        <f t="shared" si="33"/>
        <v>P3S2A04</v>
      </c>
      <c r="M614" s="49">
        <v>3</v>
      </c>
      <c r="N614" s="49">
        <v>1</v>
      </c>
      <c r="O614" s="49">
        <v>2</v>
      </c>
      <c r="P614" s="50" t="s">
        <v>36</v>
      </c>
      <c r="Q614" s="51">
        <v>3017</v>
      </c>
    </row>
    <row r="615" spans="12:17">
      <c r="L615" s="36" t="str">
        <f t="shared" si="33"/>
        <v>P3S2A05</v>
      </c>
      <c r="M615" s="49">
        <v>3</v>
      </c>
      <c r="N615" s="49">
        <v>1</v>
      </c>
      <c r="O615" s="49">
        <v>2</v>
      </c>
      <c r="P615" s="50" t="s">
        <v>37</v>
      </c>
      <c r="Q615" s="51">
        <v>3017</v>
      </c>
    </row>
    <row r="616" spans="12:17">
      <c r="L616" s="36" t="str">
        <f t="shared" si="33"/>
        <v>P3S2A06</v>
      </c>
      <c r="M616" s="49">
        <v>3</v>
      </c>
      <c r="N616" s="49">
        <v>1</v>
      </c>
      <c r="O616" s="49">
        <v>2</v>
      </c>
      <c r="P616" s="50" t="s">
        <v>38</v>
      </c>
      <c r="Q616" s="51">
        <v>3017</v>
      </c>
    </row>
    <row r="617" spans="12:17">
      <c r="L617" s="36" t="str">
        <f t="shared" si="33"/>
        <v>P3S2A07</v>
      </c>
      <c r="M617" s="49">
        <v>3</v>
      </c>
      <c r="N617" s="49">
        <v>1</v>
      </c>
      <c r="O617" s="49">
        <v>2</v>
      </c>
      <c r="P617" s="50" t="s">
        <v>39</v>
      </c>
      <c r="Q617" s="51">
        <v>3017</v>
      </c>
    </row>
    <row r="618" spans="12:17">
      <c r="L618" s="36" t="str">
        <f t="shared" si="33"/>
        <v>P3S2A08</v>
      </c>
      <c r="M618" s="49">
        <v>3</v>
      </c>
      <c r="N618" s="49">
        <v>1</v>
      </c>
      <c r="O618" s="49">
        <v>2</v>
      </c>
      <c r="P618" s="50" t="s">
        <v>40</v>
      </c>
      <c r="Q618" s="51">
        <v>3017</v>
      </c>
    </row>
    <row r="619" spans="12:17">
      <c r="L619" s="36" t="str">
        <f t="shared" si="33"/>
        <v>P3S2A09</v>
      </c>
      <c r="M619" s="49">
        <v>3</v>
      </c>
      <c r="N619" s="49">
        <v>1</v>
      </c>
      <c r="O619" s="49">
        <v>2</v>
      </c>
      <c r="P619" s="50" t="s">
        <v>41</v>
      </c>
      <c r="Q619" s="51">
        <v>3017</v>
      </c>
    </row>
    <row r="620" spans="12:17">
      <c r="L620" s="36" t="str">
        <f t="shared" si="33"/>
        <v>P3S2A10</v>
      </c>
      <c r="M620" s="49">
        <v>3</v>
      </c>
      <c r="N620" s="49">
        <v>1</v>
      </c>
      <c r="O620" s="49">
        <v>2</v>
      </c>
      <c r="P620" s="50" t="s">
        <v>42</v>
      </c>
      <c r="Q620" s="51">
        <v>3017</v>
      </c>
    </row>
    <row r="621" spans="12:17">
      <c r="L621" s="36" t="str">
        <f t="shared" si="33"/>
        <v>P3S2A11</v>
      </c>
      <c r="M621" s="49">
        <v>3</v>
      </c>
      <c r="N621" s="49">
        <v>1</v>
      </c>
      <c r="O621" s="49">
        <v>2</v>
      </c>
      <c r="P621" s="50" t="s">
        <v>43</v>
      </c>
      <c r="Q621" s="51">
        <v>3017</v>
      </c>
    </row>
    <row r="622" spans="12:17">
      <c r="L622" s="36" t="str">
        <f t="shared" si="33"/>
        <v>P3S2A12</v>
      </c>
      <c r="M622" s="49">
        <v>3</v>
      </c>
      <c r="N622" s="49">
        <v>1</v>
      </c>
      <c r="O622" s="49">
        <v>2</v>
      </c>
      <c r="P622" s="50" t="s">
        <v>44</v>
      </c>
      <c r="Q622" s="51">
        <v>3017</v>
      </c>
    </row>
    <row r="623" spans="12:17">
      <c r="L623" s="36" t="str">
        <f t="shared" si="33"/>
        <v>P3S2A13</v>
      </c>
      <c r="M623" s="49">
        <v>3</v>
      </c>
      <c r="N623" s="49">
        <v>1</v>
      </c>
      <c r="O623" s="49">
        <v>2</v>
      </c>
      <c r="P623" s="50" t="s">
        <v>45</v>
      </c>
      <c r="Q623" s="51">
        <v>3017</v>
      </c>
    </row>
    <row r="624" spans="12:17">
      <c r="L624" s="36" t="str">
        <f t="shared" si="33"/>
        <v>P3S2A14</v>
      </c>
      <c r="M624" s="49">
        <v>3</v>
      </c>
      <c r="N624" s="49">
        <v>1</v>
      </c>
      <c r="O624" s="49">
        <v>2</v>
      </c>
      <c r="P624" s="50" t="s">
        <v>46</v>
      </c>
      <c r="Q624" s="51">
        <v>3017</v>
      </c>
    </row>
    <row r="625" spans="12:17">
      <c r="L625" s="36" t="str">
        <f t="shared" si="33"/>
        <v>P3S2A15</v>
      </c>
      <c r="M625" s="49">
        <v>3</v>
      </c>
      <c r="N625" s="49">
        <v>1</v>
      </c>
      <c r="O625" s="49">
        <v>2</v>
      </c>
      <c r="P625" s="50" t="s">
        <v>47</v>
      </c>
      <c r="Q625" s="51">
        <v>1443</v>
      </c>
    </row>
    <row r="626" spans="12:17">
      <c r="L626" s="36" t="str">
        <f t="shared" si="33"/>
        <v>P3S2A16</v>
      </c>
      <c r="M626" s="49">
        <v>3</v>
      </c>
      <c r="N626" s="49">
        <v>1</v>
      </c>
      <c r="O626" s="49">
        <v>2</v>
      </c>
      <c r="P626" s="50" t="s">
        <v>48</v>
      </c>
      <c r="Q626" s="51">
        <v>1443</v>
      </c>
    </row>
    <row r="627" spans="12:17">
      <c r="L627" s="36" t="str">
        <f t="shared" si="33"/>
        <v>P3S2A17</v>
      </c>
      <c r="M627" s="49">
        <v>3</v>
      </c>
      <c r="N627" s="49">
        <v>1</v>
      </c>
      <c r="O627" s="49">
        <v>2</v>
      </c>
      <c r="P627" s="50" t="s">
        <v>49</v>
      </c>
      <c r="Q627" s="51">
        <v>1443</v>
      </c>
    </row>
    <row r="628" spans="12:17">
      <c r="L628" s="36" t="str">
        <f t="shared" si="33"/>
        <v>P3S2A18</v>
      </c>
      <c r="M628" s="49">
        <v>3</v>
      </c>
      <c r="N628" s="49">
        <v>1</v>
      </c>
      <c r="O628" s="49">
        <v>2</v>
      </c>
      <c r="P628" s="50" t="s">
        <v>50</v>
      </c>
      <c r="Q628" s="51">
        <v>1443</v>
      </c>
    </row>
    <row r="629" spans="12:17">
      <c r="L629" s="36" t="str">
        <f t="shared" si="33"/>
        <v>P3S2A19</v>
      </c>
      <c r="M629" s="49">
        <v>3</v>
      </c>
      <c r="N629" s="49">
        <v>1</v>
      </c>
      <c r="O629" s="49">
        <v>2</v>
      </c>
      <c r="P629" s="50" t="s">
        <v>51</v>
      </c>
      <c r="Q629" s="51">
        <v>1443</v>
      </c>
    </row>
    <row r="630" spans="12:17">
      <c r="L630" s="36" t="str">
        <f t="shared" si="33"/>
        <v>P3S2A20</v>
      </c>
      <c r="M630" s="49">
        <v>3</v>
      </c>
      <c r="N630" s="49">
        <v>1</v>
      </c>
      <c r="O630" s="49">
        <v>2</v>
      </c>
      <c r="P630" s="50" t="s">
        <v>52</v>
      </c>
      <c r="Q630" s="51">
        <v>1988</v>
      </c>
    </row>
    <row r="631" spans="12:17">
      <c r="L631" s="36" t="str">
        <f t="shared" si="33"/>
        <v>P3S2A21</v>
      </c>
      <c r="M631" s="49">
        <v>3</v>
      </c>
      <c r="N631" s="49">
        <v>1</v>
      </c>
      <c r="O631" s="49">
        <v>2</v>
      </c>
      <c r="P631" s="50" t="s">
        <v>53</v>
      </c>
      <c r="Q631" s="51">
        <v>1988</v>
      </c>
    </row>
    <row r="632" spans="12:17">
      <c r="L632" s="36" t="str">
        <f t="shared" si="33"/>
        <v>P3S2A22</v>
      </c>
      <c r="M632" s="49">
        <v>3</v>
      </c>
      <c r="N632" s="49">
        <v>1</v>
      </c>
      <c r="O632" s="49">
        <v>2</v>
      </c>
      <c r="P632" s="50" t="s">
        <v>54</v>
      </c>
      <c r="Q632" s="51">
        <v>1988</v>
      </c>
    </row>
    <row r="633" spans="12:17">
      <c r="L633" s="36" t="str">
        <f t="shared" si="33"/>
        <v>P3S2A23</v>
      </c>
      <c r="M633" s="49">
        <v>3</v>
      </c>
      <c r="N633" s="49">
        <v>1</v>
      </c>
      <c r="O633" s="49">
        <v>2</v>
      </c>
      <c r="P633" s="50" t="s">
        <v>55</v>
      </c>
      <c r="Q633" s="51">
        <v>1988</v>
      </c>
    </row>
    <row r="634" spans="12:17">
      <c r="L634" s="36" t="str">
        <f t="shared" si="33"/>
        <v>P3S2A24</v>
      </c>
      <c r="M634" s="49">
        <v>3</v>
      </c>
      <c r="N634" s="49">
        <v>1</v>
      </c>
      <c r="O634" s="49">
        <v>2</v>
      </c>
      <c r="P634" s="50" t="s">
        <v>56</v>
      </c>
      <c r="Q634" s="51">
        <v>1988</v>
      </c>
    </row>
    <row r="635" spans="12:17">
      <c r="L635" s="36" t="str">
        <f t="shared" si="33"/>
        <v>P3S2A25</v>
      </c>
      <c r="M635" s="49">
        <v>3</v>
      </c>
      <c r="N635" s="49">
        <v>1</v>
      </c>
      <c r="O635" s="49">
        <v>2</v>
      </c>
      <c r="P635" s="50" t="s">
        <v>57</v>
      </c>
      <c r="Q635" s="51">
        <v>3226</v>
      </c>
    </row>
    <row r="636" spans="12:17">
      <c r="L636" s="36" t="str">
        <f t="shared" si="33"/>
        <v>P3S2A26</v>
      </c>
      <c r="M636" s="49">
        <v>3</v>
      </c>
      <c r="N636" s="49">
        <v>1</v>
      </c>
      <c r="O636" s="49">
        <v>2</v>
      </c>
      <c r="P636" s="50" t="s">
        <v>58</v>
      </c>
      <c r="Q636" s="51">
        <v>3226</v>
      </c>
    </row>
    <row r="637" spans="12:17">
      <c r="L637" s="36" t="str">
        <f t="shared" si="33"/>
        <v>P3S2A27</v>
      </c>
      <c r="M637" s="49">
        <v>3</v>
      </c>
      <c r="N637" s="49">
        <v>1</v>
      </c>
      <c r="O637" s="49">
        <v>2</v>
      </c>
      <c r="P637" s="50" t="s">
        <v>59</v>
      </c>
      <c r="Q637" s="51">
        <v>3226</v>
      </c>
    </row>
    <row r="638" spans="12:17">
      <c r="L638" s="36" t="str">
        <f t="shared" si="33"/>
        <v>P3S2A28</v>
      </c>
      <c r="M638" s="49">
        <v>3</v>
      </c>
      <c r="N638" s="49">
        <v>1</v>
      </c>
      <c r="O638" s="49">
        <v>2</v>
      </c>
      <c r="P638" s="50" t="s">
        <v>60</v>
      </c>
      <c r="Q638" s="51">
        <v>3226</v>
      </c>
    </row>
    <row r="639" spans="12:17">
      <c r="L639" s="36" t="str">
        <f t="shared" si="33"/>
        <v>P3S2A29</v>
      </c>
      <c r="M639" s="49">
        <v>3</v>
      </c>
      <c r="N639" s="49">
        <v>1</v>
      </c>
      <c r="O639" s="49">
        <v>2</v>
      </c>
      <c r="P639" s="50" t="s">
        <v>61</v>
      </c>
      <c r="Q639" s="51">
        <v>3226</v>
      </c>
    </row>
    <row r="640" spans="12:17">
      <c r="L640" s="36" t="str">
        <f t="shared" si="33"/>
        <v>P3S2A30</v>
      </c>
      <c r="M640" s="49">
        <v>3</v>
      </c>
      <c r="N640" s="49">
        <v>1</v>
      </c>
      <c r="O640" s="49">
        <v>2</v>
      </c>
      <c r="P640" s="50" t="s">
        <v>62</v>
      </c>
      <c r="Q640" s="51">
        <v>4211</v>
      </c>
    </row>
    <row r="641" spans="12:17">
      <c r="L641" s="36" t="str">
        <f t="shared" si="33"/>
        <v>P3S2A31</v>
      </c>
      <c r="M641" s="49">
        <v>3</v>
      </c>
      <c r="N641" s="49">
        <v>1</v>
      </c>
      <c r="O641" s="49">
        <v>2</v>
      </c>
      <c r="P641" s="50" t="s">
        <v>63</v>
      </c>
      <c r="Q641" s="51">
        <v>4211</v>
      </c>
    </row>
    <row r="642" spans="12:17">
      <c r="L642" s="36" t="str">
        <f t="shared" ref="L642:L705" si="34">"P"&amp;M642&amp;"S"&amp;O642&amp;"A"&amp;REPT("0",2-LEN(P642))&amp;P642</f>
        <v>P3S2A32</v>
      </c>
      <c r="M642" s="49">
        <v>3</v>
      </c>
      <c r="N642" s="49">
        <v>1</v>
      </c>
      <c r="O642" s="49">
        <v>2</v>
      </c>
      <c r="P642" s="50" t="s">
        <v>64</v>
      </c>
      <c r="Q642" s="51">
        <v>4211</v>
      </c>
    </row>
    <row r="643" spans="12:17">
      <c r="L643" s="36" t="str">
        <f t="shared" si="34"/>
        <v>P3S2A33</v>
      </c>
      <c r="M643" s="49">
        <v>3</v>
      </c>
      <c r="N643" s="49">
        <v>1</v>
      </c>
      <c r="O643" s="49">
        <v>2</v>
      </c>
      <c r="P643" s="50" t="s">
        <v>65</v>
      </c>
      <c r="Q643" s="51">
        <v>4211</v>
      </c>
    </row>
    <row r="644" spans="12:17">
      <c r="L644" s="36" t="str">
        <f t="shared" si="34"/>
        <v>P3S2A34</v>
      </c>
      <c r="M644" s="49">
        <v>3</v>
      </c>
      <c r="N644" s="49">
        <v>1</v>
      </c>
      <c r="O644" s="49">
        <v>2</v>
      </c>
      <c r="P644" s="50" t="s">
        <v>66</v>
      </c>
      <c r="Q644" s="51">
        <v>4211</v>
      </c>
    </row>
    <row r="645" spans="12:17">
      <c r="L645" s="36" t="str">
        <f t="shared" si="34"/>
        <v>P3S2A35</v>
      </c>
      <c r="M645" s="49">
        <v>3</v>
      </c>
      <c r="N645" s="49">
        <v>1</v>
      </c>
      <c r="O645" s="49">
        <v>2</v>
      </c>
      <c r="P645" s="50" t="s">
        <v>67</v>
      </c>
      <c r="Q645" s="51">
        <v>4401</v>
      </c>
    </row>
    <row r="646" spans="12:17">
      <c r="L646" s="36" t="str">
        <f t="shared" si="34"/>
        <v>P3S2A36</v>
      </c>
      <c r="M646" s="49">
        <v>3</v>
      </c>
      <c r="N646" s="49">
        <v>1</v>
      </c>
      <c r="O646" s="49">
        <v>2</v>
      </c>
      <c r="P646" s="50" t="s">
        <v>68</v>
      </c>
      <c r="Q646" s="51">
        <v>4401</v>
      </c>
    </row>
    <row r="647" spans="12:17">
      <c r="L647" s="36" t="str">
        <f t="shared" si="34"/>
        <v>P3S2A37</v>
      </c>
      <c r="M647" s="49">
        <v>3</v>
      </c>
      <c r="N647" s="49">
        <v>1</v>
      </c>
      <c r="O647" s="49">
        <v>2</v>
      </c>
      <c r="P647" s="50" t="s">
        <v>69</v>
      </c>
      <c r="Q647" s="51">
        <v>4401</v>
      </c>
    </row>
    <row r="648" spans="12:17">
      <c r="L648" s="36" t="str">
        <f t="shared" si="34"/>
        <v>P3S2A38</v>
      </c>
      <c r="M648" s="49">
        <v>3</v>
      </c>
      <c r="N648" s="49">
        <v>1</v>
      </c>
      <c r="O648" s="49">
        <v>2</v>
      </c>
      <c r="P648" s="50" t="s">
        <v>70</v>
      </c>
      <c r="Q648" s="51">
        <v>4401</v>
      </c>
    </row>
    <row r="649" spans="12:17">
      <c r="L649" s="36" t="str">
        <f t="shared" si="34"/>
        <v>P3S2A39</v>
      </c>
      <c r="M649" s="49">
        <v>3</v>
      </c>
      <c r="N649" s="49">
        <v>1</v>
      </c>
      <c r="O649" s="49">
        <v>2</v>
      </c>
      <c r="P649" s="50" t="s">
        <v>71</v>
      </c>
      <c r="Q649" s="51">
        <v>4401</v>
      </c>
    </row>
    <row r="650" spans="12:17">
      <c r="L650" s="36" t="str">
        <f t="shared" si="34"/>
        <v>P3S2A40</v>
      </c>
      <c r="M650" s="49">
        <v>3</v>
      </c>
      <c r="N650" s="49">
        <v>1</v>
      </c>
      <c r="O650" s="49">
        <v>2</v>
      </c>
      <c r="P650" s="50" t="s">
        <v>72</v>
      </c>
      <c r="Q650" s="51">
        <v>4554</v>
      </c>
    </row>
    <row r="651" spans="12:17">
      <c r="L651" s="36" t="str">
        <f t="shared" si="34"/>
        <v>P3S2A41</v>
      </c>
      <c r="M651" s="49">
        <v>3</v>
      </c>
      <c r="N651" s="49">
        <v>1</v>
      </c>
      <c r="O651" s="49">
        <v>2</v>
      </c>
      <c r="P651" s="50" t="s">
        <v>73</v>
      </c>
      <c r="Q651" s="51">
        <v>4554</v>
      </c>
    </row>
    <row r="652" spans="12:17">
      <c r="L652" s="36" t="str">
        <f t="shared" si="34"/>
        <v>P3S2A42</v>
      </c>
      <c r="M652" s="49">
        <v>3</v>
      </c>
      <c r="N652" s="49">
        <v>1</v>
      </c>
      <c r="O652" s="49">
        <v>2</v>
      </c>
      <c r="P652" s="50" t="s">
        <v>74</v>
      </c>
      <c r="Q652" s="51">
        <v>4554</v>
      </c>
    </row>
    <row r="653" spans="12:17">
      <c r="L653" s="36" t="str">
        <f t="shared" si="34"/>
        <v>P3S2A43</v>
      </c>
      <c r="M653" s="49">
        <v>3</v>
      </c>
      <c r="N653" s="49">
        <v>1</v>
      </c>
      <c r="O653" s="49">
        <v>2</v>
      </c>
      <c r="P653" s="50" t="s">
        <v>75</v>
      </c>
      <c r="Q653" s="51">
        <v>4554</v>
      </c>
    </row>
    <row r="654" spans="12:17">
      <c r="L654" s="36" t="str">
        <f t="shared" si="34"/>
        <v>P3S2A44</v>
      </c>
      <c r="M654" s="49">
        <v>3</v>
      </c>
      <c r="N654" s="49">
        <v>1</v>
      </c>
      <c r="O654" s="49">
        <v>2</v>
      </c>
      <c r="P654" s="50" t="s">
        <v>76</v>
      </c>
      <c r="Q654" s="51">
        <v>4554</v>
      </c>
    </row>
    <row r="655" spans="12:17">
      <c r="L655" s="36" t="str">
        <f t="shared" si="34"/>
        <v>P3S2A45</v>
      </c>
      <c r="M655" s="49">
        <v>3</v>
      </c>
      <c r="N655" s="49">
        <v>1</v>
      </c>
      <c r="O655" s="49">
        <v>2</v>
      </c>
      <c r="P655" s="50" t="s">
        <v>77</v>
      </c>
      <c r="Q655" s="51">
        <v>5419</v>
      </c>
    </row>
    <row r="656" spans="12:17">
      <c r="L656" s="36" t="str">
        <f t="shared" si="34"/>
        <v>P3S2A46</v>
      </c>
      <c r="M656" s="49">
        <v>3</v>
      </c>
      <c r="N656" s="49">
        <v>1</v>
      </c>
      <c r="O656" s="49">
        <v>2</v>
      </c>
      <c r="P656" s="50" t="s">
        <v>78</v>
      </c>
      <c r="Q656" s="51">
        <v>5419</v>
      </c>
    </row>
    <row r="657" spans="12:17">
      <c r="L657" s="36" t="str">
        <f t="shared" si="34"/>
        <v>P3S2A47</v>
      </c>
      <c r="M657" s="49">
        <v>3</v>
      </c>
      <c r="N657" s="49">
        <v>1</v>
      </c>
      <c r="O657" s="49">
        <v>2</v>
      </c>
      <c r="P657" s="50" t="s">
        <v>79</v>
      </c>
      <c r="Q657" s="51">
        <v>5419</v>
      </c>
    </row>
    <row r="658" spans="12:17">
      <c r="L658" s="36" t="str">
        <f t="shared" si="34"/>
        <v>P3S2A48</v>
      </c>
      <c r="M658" s="49">
        <v>3</v>
      </c>
      <c r="N658" s="49">
        <v>1</v>
      </c>
      <c r="O658" s="49">
        <v>2</v>
      </c>
      <c r="P658" s="50" t="s">
        <v>80</v>
      </c>
      <c r="Q658" s="51">
        <v>5419</v>
      </c>
    </row>
    <row r="659" spans="12:17">
      <c r="L659" s="36" t="str">
        <f t="shared" si="34"/>
        <v>P3S2A49</v>
      </c>
      <c r="M659" s="49">
        <v>3</v>
      </c>
      <c r="N659" s="49">
        <v>1</v>
      </c>
      <c r="O659" s="49">
        <v>2</v>
      </c>
      <c r="P659" s="50" t="s">
        <v>81</v>
      </c>
      <c r="Q659" s="51">
        <v>5419</v>
      </c>
    </row>
    <row r="660" spans="12:17">
      <c r="L660" s="36" t="str">
        <f t="shared" si="34"/>
        <v>P3S2A50</v>
      </c>
      <c r="M660" s="49">
        <v>3</v>
      </c>
      <c r="N660" s="49">
        <v>1</v>
      </c>
      <c r="O660" s="49">
        <v>2</v>
      </c>
      <c r="P660" s="50" t="s">
        <v>82</v>
      </c>
      <c r="Q660" s="51">
        <v>6187</v>
      </c>
    </row>
    <row r="661" spans="12:17">
      <c r="L661" s="36" t="str">
        <f t="shared" si="34"/>
        <v>P3S2A51</v>
      </c>
      <c r="M661" s="49">
        <v>3</v>
      </c>
      <c r="N661" s="49">
        <v>1</v>
      </c>
      <c r="O661" s="49">
        <v>2</v>
      </c>
      <c r="P661" s="50" t="s">
        <v>83</v>
      </c>
      <c r="Q661" s="51">
        <v>6187</v>
      </c>
    </row>
    <row r="662" spans="12:17">
      <c r="L662" s="36" t="str">
        <f t="shared" si="34"/>
        <v>P3S2A52</v>
      </c>
      <c r="M662" s="49">
        <v>3</v>
      </c>
      <c r="N662" s="49">
        <v>1</v>
      </c>
      <c r="O662" s="49">
        <v>2</v>
      </c>
      <c r="P662" s="50" t="s">
        <v>84</v>
      </c>
      <c r="Q662" s="51">
        <v>6187</v>
      </c>
    </row>
    <row r="663" spans="12:17">
      <c r="L663" s="36" t="str">
        <f t="shared" si="34"/>
        <v>P3S2A53</v>
      </c>
      <c r="M663" s="49">
        <v>3</v>
      </c>
      <c r="N663" s="49">
        <v>1</v>
      </c>
      <c r="O663" s="49">
        <v>2</v>
      </c>
      <c r="P663" s="50" t="s">
        <v>85</v>
      </c>
      <c r="Q663" s="51">
        <v>6187</v>
      </c>
    </row>
    <row r="664" spans="12:17">
      <c r="L664" s="36" t="str">
        <f t="shared" si="34"/>
        <v>P3S2A54</v>
      </c>
      <c r="M664" s="49">
        <v>3</v>
      </c>
      <c r="N664" s="49">
        <v>1</v>
      </c>
      <c r="O664" s="49">
        <v>2</v>
      </c>
      <c r="P664" s="50" t="s">
        <v>86</v>
      </c>
      <c r="Q664" s="51">
        <v>6187</v>
      </c>
    </row>
    <row r="665" spans="12:17">
      <c r="L665" s="36" t="str">
        <f t="shared" si="34"/>
        <v>P3S2A55</v>
      </c>
      <c r="M665" s="49">
        <v>3</v>
      </c>
      <c r="N665" s="49">
        <v>1</v>
      </c>
      <c r="O665" s="49">
        <v>2</v>
      </c>
      <c r="P665" s="50" t="s">
        <v>87</v>
      </c>
      <c r="Q665" s="51">
        <v>7222</v>
      </c>
    </row>
    <row r="666" spans="12:17">
      <c r="L666" s="36" t="str">
        <f t="shared" si="34"/>
        <v>P3S2A56</v>
      </c>
      <c r="M666" s="49">
        <v>3</v>
      </c>
      <c r="N666" s="49">
        <v>1</v>
      </c>
      <c r="O666" s="49">
        <v>2</v>
      </c>
      <c r="P666" s="50" t="s">
        <v>88</v>
      </c>
      <c r="Q666" s="51">
        <v>7222</v>
      </c>
    </row>
    <row r="667" spans="12:17">
      <c r="L667" s="36" t="str">
        <f t="shared" si="34"/>
        <v>P3S2A57</v>
      </c>
      <c r="M667" s="49">
        <v>3</v>
      </c>
      <c r="N667" s="49">
        <v>1</v>
      </c>
      <c r="O667" s="49">
        <v>2</v>
      </c>
      <c r="P667" s="50" t="s">
        <v>89</v>
      </c>
      <c r="Q667" s="51">
        <v>7222</v>
      </c>
    </row>
    <row r="668" spans="12:17">
      <c r="L668" s="36" t="str">
        <f t="shared" si="34"/>
        <v>P3S2A58</v>
      </c>
      <c r="M668" s="49">
        <v>3</v>
      </c>
      <c r="N668" s="49">
        <v>1</v>
      </c>
      <c r="O668" s="49">
        <v>2</v>
      </c>
      <c r="P668" s="50" t="s">
        <v>90</v>
      </c>
      <c r="Q668" s="51">
        <v>7222</v>
      </c>
    </row>
    <row r="669" spans="12:17">
      <c r="L669" s="36" t="str">
        <f t="shared" si="34"/>
        <v>P3S2A59</v>
      </c>
      <c r="M669" s="49">
        <v>3</v>
      </c>
      <c r="N669" s="49">
        <v>1</v>
      </c>
      <c r="O669" s="49">
        <v>2</v>
      </c>
      <c r="P669" s="50" t="s">
        <v>91</v>
      </c>
      <c r="Q669" s="51">
        <v>7222</v>
      </c>
    </row>
    <row r="670" spans="12:17">
      <c r="L670" s="36" t="str">
        <f t="shared" si="34"/>
        <v>P3S2A60</v>
      </c>
      <c r="M670" s="49">
        <v>3</v>
      </c>
      <c r="N670" s="49">
        <v>1</v>
      </c>
      <c r="O670" s="49">
        <v>2</v>
      </c>
      <c r="P670" s="50" t="s">
        <v>92</v>
      </c>
      <c r="Q670" s="51">
        <v>8731</v>
      </c>
    </row>
    <row r="671" spans="12:17">
      <c r="L671" s="36" t="str">
        <f t="shared" si="34"/>
        <v>P3S2A61</v>
      </c>
      <c r="M671" s="49">
        <v>3</v>
      </c>
      <c r="N671" s="49">
        <v>1</v>
      </c>
      <c r="O671" s="49">
        <v>2</v>
      </c>
      <c r="P671" s="50" t="s">
        <v>93</v>
      </c>
      <c r="Q671" s="51">
        <v>8731</v>
      </c>
    </row>
    <row r="672" spans="12:17">
      <c r="L672" s="36" t="str">
        <f t="shared" si="34"/>
        <v>P3S2A62</v>
      </c>
      <c r="M672" s="49">
        <v>3</v>
      </c>
      <c r="N672" s="49">
        <v>1</v>
      </c>
      <c r="O672" s="49">
        <v>2</v>
      </c>
      <c r="P672" s="50" t="s">
        <v>94</v>
      </c>
      <c r="Q672" s="51">
        <v>8731</v>
      </c>
    </row>
    <row r="673" spans="12:17">
      <c r="L673" s="36" t="str">
        <f t="shared" si="34"/>
        <v>P3S2A63</v>
      </c>
      <c r="M673" s="49">
        <v>3</v>
      </c>
      <c r="N673" s="49">
        <v>1</v>
      </c>
      <c r="O673" s="49">
        <v>2</v>
      </c>
      <c r="P673" s="50" t="s">
        <v>95</v>
      </c>
      <c r="Q673" s="51">
        <v>8731</v>
      </c>
    </row>
    <row r="674" spans="12:17">
      <c r="L674" s="36" t="str">
        <f t="shared" si="34"/>
        <v>P3S2A64</v>
      </c>
      <c r="M674" s="49">
        <v>3</v>
      </c>
      <c r="N674" s="49">
        <v>1</v>
      </c>
      <c r="O674" s="49">
        <v>2</v>
      </c>
      <c r="P674" s="50" t="s">
        <v>96</v>
      </c>
      <c r="Q674" s="51">
        <v>8731</v>
      </c>
    </row>
    <row r="675" spans="12:17">
      <c r="L675" s="36" t="str">
        <f t="shared" si="34"/>
        <v>P3S2A65</v>
      </c>
      <c r="M675" s="49">
        <v>3</v>
      </c>
      <c r="N675" s="49">
        <v>1</v>
      </c>
      <c r="O675" s="49">
        <v>2</v>
      </c>
      <c r="P675" s="50" t="s">
        <v>97</v>
      </c>
      <c r="Q675" s="51">
        <v>11552</v>
      </c>
    </row>
    <row r="676" spans="12:17">
      <c r="L676" s="36" t="str">
        <f t="shared" si="34"/>
        <v>P3S2A66</v>
      </c>
      <c r="M676" s="49">
        <v>3</v>
      </c>
      <c r="N676" s="49">
        <v>1</v>
      </c>
      <c r="O676" s="49">
        <v>2</v>
      </c>
      <c r="P676" s="50" t="s">
        <v>98</v>
      </c>
      <c r="Q676" s="51">
        <v>11552</v>
      </c>
    </row>
    <row r="677" spans="12:17">
      <c r="L677" s="36" t="str">
        <f t="shared" si="34"/>
        <v>P3S2A67</v>
      </c>
      <c r="M677" s="49">
        <v>3</v>
      </c>
      <c r="N677" s="49">
        <v>1</v>
      </c>
      <c r="O677" s="49">
        <v>2</v>
      </c>
      <c r="P677" s="50" t="s">
        <v>99</v>
      </c>
      <c r="Q677" s="51">
        <v>11552</v>
      </c>
    </row>
    <row r="678" spans="12:17">
      <c r="L678" s="36" t="str">
        <f t="shared" si="34"/>
        <v>P3S2A68</v>
      </c>
      <c r="M678" s="49">
        <v>3</v>
      </c>
      <c r="N678" s="49">
        <v>1</v>
      </c>
      <c r="O678" s="49">
        <v>2</v>
      </c>
      <c r="P678" s="50" t="s">
        <v>100</v>
      </c>
      <c r="Q678" s="51">
        <v>11552</v>
      </c>
    </row>
    <row r="679" spans="12:17">
      <c r="L679" s="36" t="str">
        <f t="shared" si="34"/>
        <v>P3S2A69</v>
      </c>
      <c r="M679" s="49">
        <v>3</v>
      </c>
      <c r="N679" s="49">
        <v>1</v>
      </c>
      <c r="O679" s="49">
        <v>2</v>
      </c>
      <c r="P679" s="50" t="s">
        <v>101</v>
      </c>
      <c r="Q679" s="51">
        <v>11552</v>
      </c>
    </row>
    <row r="680" spans="12:17">
      <c r="L680" s="36" t="str">
        <f t="shared" si="34"/>
        <v>P3S2A70</v>
      </c>
      <c r="M680" s="49">
        <v>3</v>
      </c>
      <c r="N680" s="49">
        <v>1</v>
      </c>
      <c r="O680" s="49">
        <v>2</v>
      </c>
      <c r="P680" s="50" t="s">
        <v>102</v>
      </c>
      <c r="Q680" s="51">
        <v>14867</v>
      </c>
    </row>
    <row r="681" spans="12:17">
      <c r="L681" s="36" t="str">
        <f t="shared" si="34"/>
        <v>P3S2A71</v>
      </c>
      <c r="M681" s="49">
        <v>3</v>
      </c>
      <c r="N681" s="49">
        <v>1</v>
      </c>
      <c r="O681" s="49">
        <v>2</v>
      </c>
      <c r="P681" s="50" t="s">
        <v>103</v>
      </c>
      <c r="Q681" s="51">
        <v>14867</v>
      </c>
    </row>
    <row r="682" spans="12:17">
      <c r="L682" s="36" t="str">
        <f t="shared" si="34"/>
        <v>P3S2A72</v>
      </c>
      <c r="M682" s="49">
        <v>3</v>
      </c>
      <c r="N682" s="49">
        <v>1</v>
      </c>
      <c r="O682" s="49">
        <v>2</v>
      </c>
      <c r="P682" s="50" t="s">
        <v>104</v>
      </c>
      <c r="Q682" s="51">
        <v>14867</v>
      </c>
    </row>
    <row r="683" spans="12:17">
      <c r="L683" s="36" t="str">
        <f t="shared" si="34"/>
        <v>P3S2A73</v>
      </c>
      <c r="M683" s="49">
        <v>3</v>
      </c>
      <c r="N683" s="49">
        <v>1</v>
      </c>
      <c r="O683" s="49">
        <v>2</v>
      </c>
      <c r="P683" s="50" t="s">
        <v>105</v>
      </c>
      <c r="Q683" s="51">
        <v>14867</v>
      </c>
    </row>
    <row r="684" spans="12:17">
      <c r="L684" s="36" t="str">
        <f t="shared" si="34"/>
        <v>P3S2A74</v>
      </c>
      <c r="M684" s="49">
        <v>3</v>
      </c>
      <c r="N684" s="49">
        <v>1</v>
      </c>
      <c r="O684" s="49">
        <v>2</v>
      </c>
      <c r="P684" s="50" t="s">
        <v>106</v>
      </c>
      <c r="Q684" s="51">
        <v>14867</v>
      </c>
    </row>
    <row r="685" spans="12:17">
      <c r="L685" s="36" t="str">
        <f t="shared" si="34"/>
        <v>P3S2A75</v>
      </c>
      <c r="M685" s="49">
        <v>3</v>
      </c>
      <c r="N685" s="49">
        <v>1</v>
      </c>
      <c r="O685" s="49">
        <v>2</v>
      </c>
      <c r="P685" s="50" t="s">
        <v>107</v>
      </c>
      <c r="Q685" s="51">
        <v>14867</v>
      </c>
    </row>
    <row r="686" spans="12:17">
      <c r="L686" s="36" t="str">
        <f t="shared" si="34"/>
        <v>P4S2A00</v>
      </c>
      <c r="M686" s="49">
        <v>4</v>
      </c>
      <c r="N686" s="49">
        <v>1</v>
      </c>
      <c r="O686" s="49">
        <v>2</v>
      </c>
      <c r="P686" s="50" t="s">
        <v>32</v>
      </c>
      <c r="Q686" s="51">
        <v>3984</v>
      </c>
    </row>
    <row r="687" spans="12:17">
      <c r="L687" s="36" t="str">
        <f t="shared" si="34"/>
        <v>P4S2A01</v>
      </c>
      <c r="M687" s="49">
        <v>4</v>
      </c>
      <c r="N687" s="49">
        <v>1</v>
      </c>
      <c r="O687" s="49">
        <v>2</v>
      </c>
      <c r="P687" s="50" t="s">
        <v>33</v>
      </c>
      <c r="Q687" s="51">
        <v>3984</v>
      </c>
    </row>
    <row r="688" spans="12:17">
      <c r="L688" s="36" t="str">
        <f t="shared" si="34"/>
        <v>P4S2A02</v>
      </c>
      <c r="M688" s="49">
        <v>4</v>
      </c>
      <c r="N688" s="49">
        <v>1</v>
      </c>
      <c r="O688" s="49">
        <v>2</v>
      </c>
      <c r="P688" s="50" t="s">
        <v>34</v>
      </c>
      <c r="Q688" s="51">
        <v>3984</v>
      </c>
    </row>
    <row r="689" spans="12:17">
      <c r="L689" s="36" t="str">
        <f t="shared" si="34"/>
        <v>P4S2A03</v>
      </c>
      <c r="M689" s="49">
        <v>4</v>
      </c>
      <c r="N689" s="49">
        <v>1</v>
      </c>
      <c r="O689" s="49">
        <v>2</v>
      </c>
      <c r="P689" s="50" t="s">
        <v>35</v>
      </c>
      <c r="Q689" s="51">
        <v>3984</v>
      </c>
    </row>
    <row r="690" spans="12:17">
      <c r="L690" s="36" t="str">
        <f t="shared" si="34"/>
        <v>P4S2A04</v>
      </c>
      <c r="M690" s="49">
        <v>4</v>
      </c>
      <c r="N690" s="49">
        <v>1</v>
      </c>
      <c r="O690" s="49">
        <v>2</v>
      </c>
      <c r="P690" s="50" t="s">
        <v>36</v>
      </c>
      <c r="Q690" s="51">
        <v>3984</v>
      </c>
    </row>
    <row r="691" spans="12:17">
      <c r="L691" s="36" t="str">
        <f t="shared" si="34"/>
        <v>P4S2A05</v>
      </c>
      <c r="M691" s="49">
        <v>4</v>
      </c>
      <c r="N691" s="49">
        <v>1</v>
      </c>
      <c r="O691" s="49">
        <v>2</v>
      </c>
      <c r="P691" s="50" t="s">
        <v>37</v>
      </c>
      <c r="Q691" s="51">
        <v>3984</v>
      </c>
    </row>
    <row r="692" spans="12:17">
      <c r="L692" s="36" t="str">
        <f t="shared" si="34"/>
        <v>P4S2A06</v>
      </c>
      <c r="M692" s="49">
        <v>4</v>
      </c>
      <c r="N692" s="49">
        <v>1</v>
      </c>
      <c r="O692" s="49">
        <v>2</v>
      </c>
      <c r="P692" s="50" t="s">
        <v>38</v>
      </c>
      <c r="Q692" s="51">
        <v>3984</v>
      </c>
    </row>
    <row r="693" spans="12:17">
      <c r="L693" s="36" t="str">
        <f t="shared" si="34"/>
        <v>P4S2A07</v>
      </c>
      <c r="M693" s="49">
        <v>4</v>
      </c>
      <c r="N693" s="49">
        <v>1</v>
      </c>
      <c r="O693" s="49">
        <v>2</v>
      </c>
      <c r="P693" s="50" t="s">
        <v>39</v>
      </c>
      <c r="Q693" s="51">
        <v>3984</v>
      </c>
    </row>
    <row r="694" spans="12:17">
      <c r="L694" s="36" t="str">
        <f t="shared" si="34"/>
        <v>P4S2A08</v>
      </c>
      <c r="M694" s="49">
        <v>4</v>
      </c>
      <c r="N694" s="49">
        <v>1</v>
      </c>
      <c r="O694" s="49">
        <v>2</v>
      </c>
      <c r="P694" s="50" t="s">
        <v>40</v>
      </c>
      <c r="Q694" s="51">
        <v>3984</v>
      </c>
    </row>
    <row r="695" spans="12:17">
      <c r="L695" s="36" t="str">
        <f t="shared" si="34"/>
        <v>P4S2A09</v>
      </c>
      <c r="M695" s="49">
        <v>4</v>
      </c>
      <c r="N695" s="49">
        <v>1</v>
      </c>
      <c r="O695" s="49">
        <v>2</v>
      </c>
      <c r="P695" s="50" t="s">
        <v>41</v>
      </c>
      <c r="Q695" s="51">
        <v>3984</v>
      </c>
    </row>
    <row r="696" spans="12:17">
      <c r="L696" s="36" t="str">
        <f t="shared" si="34"/>
        <v>P4S2A10</v>
      </c>
      <c r="M696" s="49">
        <v>4</v>
      </c>
      <c r="N696" s="49">
        <v>1</v>
      </c>
      <c r="O696" s="49">
        <v>2</v>
      </c>
      <c r="P696" s="50" t="s">
        <v>42</v>
      </c>
      <c r="Q696" s="51">
        <v>3984</v>
      </c>
    </row>
    <row r="697" spans="12:17">
      <c r="L697" s="36" t="str">
        <f t="shared" si="34"/>
        <v>P4S2A11</v>
      </c>
      <c r="M697" s="49">
        <v>4</v>
      </c>
      <c r="N697" s="49">
        <v>1</v>
      </c>
      <c r="O697" s="49">
        <v>2</v>
      </c>
      <c r="P697" s="50" t="s">
        <v>43</v>
      </c>
      <c r="Q697" s="51">
        <v>3984</v>
      </c>
    </row>
    <row r="698" spans="12:17">
      <c r="L698" s="36" t="str">
        <f t="shared" si="34"/>
        <v>P4S2A12</v>
      </c>
      <c r="M698" s="49">
        <v>4</v>
      </c>
      <c r="N698" s="49">
        <v>1</v>
      </c>
      <c r="O698" s="49">
        <v>2</v>
      </c>
      <c r="P698" s="50" t="s">
        <v>44</v>
      </c>
      <c r="Q698" s="51">
        <v>3984</v>
      </c>
    </row>
    <row r="699" spans="12:17">
      <c r="L699" s="36" t="str">
        <f t="shared" si="34"/>
        <v>P4S2A13</v>
      </c>
      <c r="M699" s="49">
        <v>4</v>
      </c>
      <c r="N699" s="49">
        <v>1</v>
      </c>
      <c r="O699" s="49">
        <v>2</v>
      </c>
      <c r="P699" s="50" t="s">
        <v>45</v>
      </c>
      <c r="Q699" s="51">
        <v>3984</v>
      </c>
    </row>
    <row r="700" spans="12:17">
      <c r="L700" s="36" t="str">
        <f t="shared" si="34"/>
        <v>P4S2A14</v>
      </c>
      <c r="M700" s="49">
        <v>4</v>
      </c>
      <c r="N700" s="49">
        <v>1</v>
      </c>
      <c r="O700" s="49">
        <v>2</v>
      </c>
      <c r="P700" s="50" t="s">
        <v>46</v>
      </c>
      <c r="Q700" s="51">
        <v>3984</v>
      </c>
    </row>
    <row r="701" spans="12:17">
      <c r="L701" s="36" t="str">
        <f t="shared" si="34"/>
        <v>P4S2A15</v>
      </c>
      <c r="M701" s="49">
        <v>4</v>
      </c>
      <c r="N701" s="49">
        <v>1</v>
      </c>
      <c r="O701" s="49">
        <v>2</v>
      </c>
      <c r="P701" s="50" t="s">
        <v>47</v>
      </c>
      <c r="Q701" s="51">
        <v>1904</v>
      </c>
    </row>
    <row r="702" spans="12:17">
      <c r="L702" s="36" t="str">
        <f t="shared" si="34"/>
        <v>P4S2A16</v>
      </c>
      <c r="M702" s="49">
        <v>4</v>
      </c>
      <c r="N702" s="49">
        <v>1</v>
      </c>
      <c r="O702" s="49">
        <v>2</v>
      </c>
      <c r="P702" s="50" t="s">
        <v>48</v>
      </c>
      <c r="Q702" s="51">
        <v>1904</v>
      </c>
    </row>
    <row r="703" spans="12:17">
      <c r="L703" s="36" t="str">
        <f t="shared" si="34"/>
        <v>P4S2A17</v>
      </c>
      <c r="M703" s="49">
        <v>4</v>
      </c>
      <c r="N703" s="49">
        <v>1</v>
      </c>
      <c r="O703" s="49">
        <v>2</v>
      </c>
      <c r="P703" s="50" t="s">
        <v>49</v>
      </c>
      <c r="Q703" s="51">
        <v>1904</v>
      </c>
    </row>
    <row r="704" spans="12:17">
      <c r="L704" s="36" t="str">
        <f t="shared" si="34"/>
        <v>P4S2A18</v>
      </c>
      <c r="M704" s="49">
        <v>4</v>
      </c>
      <c r="N704" s="49">
        <v>1</v>
      </c>
      <c r="O704" s="49">
        <v>2</v>
      </c>
      <c r="P704" s="50" t="s">
        <v>50</v>
      </c>
      <c r="Q704" s="51">
        <v>1904</v>
      </c>
    </row>
    <row r="705" spans="12:17">
      <c r="L705" s="36" t="str">
        <f t="shared" si="34"/>
        <v>P4S2A19</v>
      </c>
      <c r="M705" s="49">
        <v>4</v>
      </c>
      <c r="N705" s="49">
        <v>1</v>
      </c>
      <c r="O705" s="49">
        <v>2</v>
      </c>
      <c r="P705" s="50" t="s">
        <v>51</v>
      </c>
      <c r="Q705" s="51">
        <v>1904</v>
      </c>
    </row>
    <row r="706" spans="12:17">
      <c r="L706" s="36" t="str">
        <f t="shared" ref="L706:L769" si="35">"P"&amp;M706&amp;"S"&amp;O706&amp;"A"&amp;REPT("0",2-LEN(P706))&amp;P706</f>
        <v>P4S2A20</v>
      </c>
      <c r="M706" s="49">
        <v>4</v>
      </c>
      <c r="N706" s="49">
        <v>1</v>
      </c>
      <c r="O706" s="49">
        <v>2</v>
      </c>
      <c r="P706" s="50" t="s">
        <v>52</v>
      </c>
      <c r="Q706" s="51">
        <v>2624</v>
      </c>
    </row>
    <row r="707" spans="12:17">
      <c r="L707" s="36" t="str">
        <f t="shared" si="35"/>
        <v>P4S2A21</v>
      </c>
      <c r="M707" s="49">
        <v>4</v>
      </c>
      <c r="N707" s="49">
        <v>1</v>
      </c>
      <c r="O707" s="49">
        <v>2</v>
      </c>
      <c r="P707" s="50" t="s">
        <v>53</v>
      </c>
      <c r="Q707" s="51">
        <v>2624</v>
      </c>
    </row>
    <row r="708" spans="12:17">
      <c r="L708" s="36" t="str">
        <f t="shared" si="35"/>
        <v>P4S2A22</v>
      </c>
      <c r="M708" s="49">
        <v>4</v>
      </c>
      <c r="N708" s="49">
        <v>1</v>
      </c>
      <c r="O708" s="49">
        <v>2</v>
      </c>
      <c r="P708" s="50" t="s">
        <v>54</v>
      </c>
      <c r="Q708" s="51">
        <v>2624</v>
      </c>
    </row>
    <row r="709" spans="12:17">
      <c r="L709" s="36" t="str">
        <f t="shared" si="35"/>
        <v>P4S2A23</v>
      </c>
      <c r="M709" s="49">
        <v>4</v>
      </c>
      <c r="N709" s="49">
        <v>1</v>
      </c>
      <c r="O709" s="49">
        <v>2</v>
      </c>
      <c r="P709" s="50" t="s">
        <v>55</v>
      </c>
      <c r="Q709" s="51">
        <v>2624</v>
      </c>
    </row>
    <row r="710" spans="12:17">
      <c r="L710" s="36" t="str">
        <f t="shared" si="35"/>
        <v>P4S2A24</v>
      </c>
      <c r="M710" s="49">
        <v>4</v>
      </c>
      <c r="N710" s="49">
        <v>1</v>
      </c>
      <c r="O710" s="49">
        <v>2</v>
      </c>
      <c r="P710" s="50" t="s">
        <v>56</v>
      </c>
      <c r="Q710" s="51">
        <v>2624</v>
      </c>
    </row>
    <row r="711" spans="12:17">
      <c r="L711" s="36" t="str">
        <f t="shared" si="35"/>
        <v>P4S2A25</v>
      </c>
      <c r="M711" s="49">
        <v>4</v>
      </c>
      <c r="N711" s="49">
        <v>1</v>
      </c>
      <c r="O711" s="49">
        <v>2</v>
      </c>
      <c r="P711" s="50" t="s">
        <v>57</v>
      </c>
      <c r="Q711" s="51">
        <v>4259</v>
      </c>
    </row>
    <row r="712" spans="12:17">
      <c r="L712" s="36" t="str">
        <f t="shared" si="35"/>
        <v>P4S2A26</v>
      </c>
      <c r="M712" s="49">
        <v>4</v>
      </c>
      <c r="N712" s="49">
        <v>1</v>
      </c>
      <c r="O712" s="49">
        <v>2</v>
      </c>
      <c r="P712" s="50" t="s">
        <v>58</v>
      </c>
      <c r="Q712" s="51">
        <v>4259</v>
      </c>
    </row>
    <row r="713" spans="12:17">
      <c r="L713" s="36" t="str">
        <f t="shared" si="35"/>
        <v>P4S2A27</v>
      </c>
      <c r="M713" s="49">
        <v>4</v>
      </c>
      <c r="N713" s="49">
        <v>1</v>
      </c>
      <c r="O713" s="49">
        <v>2</v>
      </c>
      <c r="P713" s="50" t="s">
        <v>59</v>
      </c>
      <c r="Q713" s="51">
        <v>4259</v>
      </c>
    </row>
    <row r="714" spans="12:17">
      <c r="L714" s="36" t="str">
        <f t="shared" si="35"/>
        <v>P4S2A28</v>
      </c>
      <c r="M714" s="49">
        <v>4</v>
      </c>
      <c r="N714" s="49">
        <v>1</v>
      </c>
      <c r="O714" s="49">
        <v>2</v>
      </c>
      <c r="P714" s="50" t="s">
        <v>60</v>
      </c>
      <c r="Q714" s="51">
        <v>4259</v>
      </c>
    </row>
    <row r="715" spans="12:17">
      <c r="L715" s="36" t="str">
        <f t="shared" si="35"/>
        <v>P4S2A29</v>
      </c>
      <c r="M715" s="49">
        <v>4</v>
      </c>
      <c r="N715" s="49">
        <v>1</v>
      </c>
      <c r="O715" s="49">
        <v>2</v>
      </c>
      <c r="P715" s="50" t="s">
        <v>61</v>
      </c>
      <c r="Q715" s="51">
        <v>4259</v>
      </c>
    </row>
    <row r="716" spans="12:17">
      <c r="L716" s="36" t="str">
        <f t="shared" si="35"/>
        <v>P4S2A30</v>
      </c>
      <c r="M716" s="49">
        <v>4</v>
      </c>
      <c r="N716" s="49">
        <v>1</v>
      </c>
      <c r="O716" s="49">
        <v>2</v>
      </c>
      <c r="P716" s="50" t="s">
        <v>62</v>
      </c>
      <c r="Q716" s="51">
        <v>5559</v>
      </c>
    </row>
    <row r="717" spans="12:17">
      <c r="L717" s="36" t="str">
        <f t="shared" si="35"/>
        <v>P4S2A31</v>
      </c>
      <c r="M717" s="49">
        <v>4</v>
      </c>
      <c r="N717" s="49">
        <v>1</v>
      </c>
      <c r="O717" s="49">
        <v>2</v>
      </c>
      <c r="P717" s="50" t="s">
        <v>63</v>
      </c>
      <c r="Q717" s="51">
        <v>5559</v>
      </c>
    </row>
    <row r="718" spans="12:17">
      <c r="L718" s="36" t="str">
        <f t="shared" si="35"/>
        <v>P4S2A32</v>
      </c>
      <c r="M718" s="49">
        <v>4</v>
      </c>
      <c r="N718" s="49">
        <v>1</v>
      </c>
      <c r="O718" s="49">
        <v>2</v>
      </c>
      <c r="P718" s="50" t="s">
        <v>64</v>
      </c>
      <c r="Q718" s="51">
        <v>5559</v>
      </c>
    </row>
    <row r="719" spans="12:17">
      <c r="L719" s="36" t="str">
        <f t="shared" si="35"/>
        <v>P4S2A33</v>
      </c>
      <c r="M719" s="49">
        <v>4</v>
      </c>
      <c r="N719" s="49">
        <v>1</v>
      </c>
      <c r="O719" s="49">
        <v>2</v>
      </c>
      <c r="P719" s="50" t="s">
        <v>65</v>
      </c>
      <c r="Q719" s="51">
        <v>5559</v>
      </c>
    </row>
    <row r="720" spans="12:17">
      <c r="L720" s="36" t="str">
        <f t="shared" si="35"/>
        <v>P4S2A34</v>
      </c>
      <c r="M720" s="49">
        <v>4</v>
      </c>
      <c r="N720" s="49">
        <v>1</v>
      </c>
      <c r="O720" s="49">
        <v>2</v>
      </c>
      <c r="P720" s="50" t="s">
        <v>66</v>
      </c>
      <c r="Q720" s="51">
        <v>5559</v>
      </c>
    </row>
    <row r="721" spans="12:17">
      <c r="L721" s="36" t="str">
        <f t="shared" si="35"/>
        <v>P4S2A35</v>
      </c>
      <c r="M721" s="49">
        <v>4</v>
      </c>
      <c r="N721" s="49">
        <v>1</v>
      </c>
      <c r="O721" s="49">
        <v>2</v>
      </c>
      <c r="P721" s="50" t="s">
        <v>67</v>
      </c>
      <c r="Q721" s="51">
        <v>5811</v>
      </c>
    </row>
    <row r="722" spans="12:17">
      <c r="L722" s="36" t="str">
        <f t="shared" si="35"/>
        <v>P4S2A36</v>
      </c>
      <c r="M722" s="49">
        <v>4</v>
      </c>
      <c r="N722" s="49">
        <v>1</v>
      </c>
      <c r="O722" s="49">
        <v>2</v>
      </c>
      <c r="P722" s="50" t="s">
        <v>68</v>
      </c>
      <c r="Q722" s="51">
        <v>5811</v>
      </c>
    </row>
    <row r="723" spans="12:17">
      <c r="L723" s="36" t="str">
        <f t="shared" si="35"/>
        <v>P4S2A37</v>
      </c>
      <c r="M723" s="49">
        <v>4</v>
      </c>
      <c r="N723" s="49">
        <v>1</v>
      </c>
      <c r="O723" s="49">
        <v>2</v>
      </c>
      <c r="P723" s="50" t="s">
        <v>69</v>
      </c>
      <c r="Q723" s="51">
        <v>5811</v>
      </c>
    </row>
    <row r="724" spans="12:17">
      <c r="L724" s="36" t="str">
        <f t="shared" si="35"/>
        <v>P4S2A38</v>
      </c>
      <c r="M724" s="49">
        <v>4</v>
      </c>
      <c r="N724" s="49">
        <v>1</v>
      </c>
      <c r="O724" s="49">
        <v>2</v>
      </c>
      <c r="P724" s="50" t="s">
        <v>70</v>
      </c>
      <c r="Q724" s="51">
        <v>5811</v>
      </c>
    </row>
    <row r="725" spans="12:17">
      <c r="L725" s="36" t="str">
        <f t="shared" si="35"/>
        <v>P4S2A39</v>
      </c>
      <c r="M725" s="49">
        <v>4</v>
      </c>
      <c r="N725" s="49">
        <v>1</v>
      </c>
      <c r="O725" s="49">
        <v>2</v>
      </c>
      <c r="P725" s="50" t="s">
        <v>71</v>
      </c>
      <c r="Q725" s="51">
        <v>5811</v>
      </c>
    </row>
    <row r="726" spans="12:17">
      <c r="L726" s="36" t="str">
        <f t="shared" si="35"/>
        <v>P4S2A40</v>
      </c>
      <c r="M726" s="49">
        <v>4</v>
      </c>
      <c r="N726" s="49">
        <v>1</v>
      </c>
      <c r="O726" s="49">
        <v>2</v>
      </c>
      <c r="P726" s="50" t="s">
        <v>72</v>
      </c>
      <c r="Q726" s="51">
        <v>6012</v>
      </c>
    </row>
    <row r="727" spans="12:17">
      <c r="L727" s="36" t="str">
        <f t="shared" si="35"/>
        <v>P4S2A41</v>
      </c>
      <c r="M727" s="49">
        <v>4</v>
      </c>
      <c r="N727" s="49">
        <v>1</v>
      </c>
      <c r="O727" s="49">
        <v>2</v>
      </c>
      <c r="P727" s="50" t="s">
        <v>73</v>
      </c>
      <c r="Q727" s="51">
        <v>6012</v>
      </c>
    </row>
    <row r="728" spans="12:17">
      <c r="L728" s="36" t="str">
        <f t="shared" si="35"/>
        <v>P4S2A42</v>
      </c>
      <c r="M728" s="49">
        <v>4</v>
      </c>
      <c r="N728" s="49">
        <v>1</v>
      </c>
      <c r="O728" s="49">
        <v>2</v>
      </c>
      <c r="P728" s="50" t="s">
        <v>74</v>
      </c>
      <c r="Q728" s="51">
        <v>6012</v>
      </c>
    </row>
    <row r="729" spans="12:17">
      <c r="L729" s="36" t="str">
        <f t="shared" si="35"/>
        <v>P4S2A43</v>
      </c>
      <c r="M729" s="49">
        <v>4</v>
      </c>
      <c r="N729" s="49">
        <v>1</v>
      </c>
      <c r="O729" s="49">
        <v>2</v>
      </c>
      <c r="P729" s="50" t="s">
        <v>75</v>
      </c>
      <c r="Q729" s="51">
        <v>6012</v>
      </c>
    </row>
    <row r="730" spans="12:17">
      <c r="L730" s="36" t="str">
        <f t="shared" si="35"/>
        <v>P4S2A44</v>
      </c>
      <c r="M730" s="49">
        <v>4</v>
      </c>
      <c r="N730" s="49">
        <v>1</v>
      </c>
      <c r="O730" s="49">
        <v>2</v>
      </c>
      <c r="P730" s="50" t="s">
        <v>76</v>
      </c>
      <c r="Q730" s="51">
        <v>6012</v>
      </c>
    </row>
    <row r="731" spans="12:17">
      <c r="L731" s="36" t="str">
        <f t="shared" si="35"/>
        <v>P4S2A45</v>
      </c>
      <c r="M731" s="49">
        <v>4</v>
      </c>
      <c r="N731" s="49">
        <v>1</v>
      </c>
      <c r="O731" s="49">
        <v>2</v>
      </c>
      <c r="P731" s="50" t="s">
        <v>77</v>
      </c>
      <c r="Q731" s="51">
        <v>7154</v>
      </c>
    </row>
    <row r="732" spans="12:17">
      <c r="L732" s="36" t="str">
        <f t="shared" si="35"/>
        <v>P4S2A46</v>
      </c>
      <c r="M732" s="49">
        <v>4</v>
      </c>
      <c r="N732" s="49">
        <v>1</v>
      </c>
      <c r="O732" s="49">
        <v>2</v>
      </c>
      <c r="P732" s="50" t="s">
        <v>78</v>
      </c>
      <c r="Q732" s="51">
        <v>7154</v>
      </c>
    </row>
    <row r="733" spans="12:17">
      <c r="L733" s="36" t="str">
        <f t="shared" si="35"/>
        <v>P4S2A47</v>
      </c>
      <c r="M733" s="49">
        <v>4</v>
      </c>
      <c r="N733" s="49">
        <v>1</v>
      </c>
      <c r="O733" s="49">
        <v>2</v>
      </c>
      <c r="P733" s="50" t="s">
        <v>79</v>
      </c>
      <c r="Q733" s="51">
        <v>7154</v>
      </c>
    </row>
    <row r="734" spans="12:17">
      <c r="L734" s="36" t="str">
        <f t="shared" si="35"/>
        <v>P4S2A48</v>
      </c>
      <c r="M734" s="49">
        <v>4</v>
      </c>
      <c r="N734" s="49">
        <v>1</v>
      </c>
      <c r="O734" s="49">
        <v>2</v>
      </c>
      <c r="P734" s="50" t="s">
        <v>80</v>
      </c>
      <c r="Q734" s="51">
        <v>7154</v>
      </c>
    </row>
    <row r="735" spans="12:17">
      <c r="L735" s="36" t="str">
        <f t="shared" si="35"/>
        <v>P4S2A49</v>
      </c>
      <c r="M735" s="49">
        <v>4</v>
      </c>
      <c r="N735" s="49">
        <v>1</v>
      </c>
      <c r="O735" s="49">
        <v>2</v>
      </c>
      <c r="P735" s="50" t="s">
        <v>81</v>
      </c>
      <c r="Q735" s="51">
        <v>7154</v>
      </c>
    </row>
    <row r="736" spans="12:17">
      <c r="L736" s="36" t="str">
        <f t="shared" si="35"/>
        <v>P4S2A50</v>
      </c>
      <c r="M736" s="49">
        <v>4</v>
      </c>
      <c r="N736" s="49">
        <v>1</v>
      </c>
      <c r="O736" s="49">
        <v>2</v>
      </c>
      <c r="P736" s="50" t="s">
        <v>82</v>
      </c>
      <c r="Q736" s="51">
        <v>8169</v>
      </c>
    </row>
    <row r="737" spans="12:17">
      <c r="L737" s="36" t="str">
        <f t="shared" si="35"/>
        <v>P4S2A51</v>
      </c>
      <c r="M737" s="49">
        <v>4</v>
      </c>
      <c r="N737" s="49">
        <v>1</v>
      </c>
      <c r="O737" s="49">
        <v>2</v>
      </c>
      <c r="P737" s="50" t="s">
        <v>83</v>
      </c>
      <c r="Q737" s="51">
        <v>8169</v>
      </c>
    </row>
    <row r="738" spans="12:17">
      <c r="L738" s="36" t="str">
        <f t="shared" si="35"/>
        <v>P4S2A52</v>
      </c>
      <c r="M738" s="49">
        <v>4</v>
      </c>
      <c r="N738" s="49">
        <v>1</v>
      </c>
      <c r="O738" s="49">
        <v>2</v>
      </c>
      <c r="P738" s="50" t="s">
        <v>84</v>
      </c>
      <c r="Q738" s="51">
        <v>8169</v>
      </c>
    </row>
    <row r="739" spans="12:17">
      <c r="L739" s="36" t="str">
        <f t="shared" si="35"/>
        <v>P4S2A53</v>
      </c>
      <c r="M739" s="49">
        <v>4</v>
      </c>
      <c r="N739" s="49">
        <v>1</v>
      </c>
      <c r="O739" s="49">
        <v>2</v>
      </c>
      <c r="P739" s="50" t="s">
        <v>85</v>
      </c>
      <c r="Q739" s="51">
        <v>8169</v>
      </c>
    </row>
    <row r="740" spans="12:17">
      <c r="L740" s="36" t="str">
        <f t="shared" si="35"/>
        <v>P4S2A54</v>
      </c>
      <c r="M740" s="49">
        <v>4</v>
      </c>
      <c r="N740" s="49">
        <v>1</v>
      </c>
      <c r="O740" s="49">
        <v>2</v>
      </c>
      <c r="P740" s="50" t="s">
        <v>86</v>
      </c>
      <c r="Q740" s="51">
        <v>8169</v>
      </c>
    </row>
    <row r="741" spans="12:17">
      <c r="L741" s="36" t="str">
        <f t="shared" si="35"/>
        <v>P4S2A55</v>
      </c>
      <c r="M741" s="49">
        <v>4</v>
      </c>
      <c r="N741" s="49">
        <v>1</v>
      </c>
      <c r="O741" s="49">
        <v>2</v>
      </c>
      <c r="P741" s="50" t="s">
        <v>87</v>
      </c>
      <c r="Q741" s="51">
        <v>9535</v>
      </c>
    </row>
    <row r="742" spans="12:17">
      <c r="L742" s="36" t="str">
        <f t="shared" si="35"/>
        <v>P4S2A56</v>
      </c>
      <c r="M742" s="49">
        <v>4</v>
      </c>
      <c r="N742" s="49">
        <v>1</v>
      </c>
      <c r="O742" s="49">
        <v>2</v>
      </c>
      <c r="P742" s="50" t="s">
        <v>88</v>
      </c>
      <c r="Q742" s="51">
        <v>9535</v>
      </c>
    </row>
    <row r="743" spans="12:17">
      <c r="L743" s="36" t="str">
        <f t="shared" si="35"/>
        <v>P4S2A57</v>
      </c>
      <c r="M743" s="49">
        <v>4</v>
      </c>
      <c r="N743" s="49">
        <v>1</v>
      </c>
      <c r="O743" s="49">
        <v>2</v>
      </c>
      <c r="P743" s="50" t="s">
        <v>89</v>
      </c>
      <c r="Q743" s="51">
        <v>9535</v>
      </c>
    </row>
    <row r="744" spans="12:17">
      <c r="L744" s="36" t="str">
        <f t="shared" si="35"/>
        <v>P4S2A58</v>
      </c>
      <c r="M744" s="49">
        <v>4</v>
      </c>
      <c r="N744" s="49">
        <v>1</v>
      </c>
      <c r="O744" s="49">
        <v>2</v>
      </c>
      <c r="P744" s="50" t="s">
        <v>90</v>
      </c>
      <c r="Q744" s="51">
        <v>9535</v>
      </c>
    </row>
    <row r="745" spans="12:17">
      <c r="L745" s="36" t="str">
        <f t="shared" si="35"/>
        <v>P4S2A59</v>
      </c>
      <c r="M745" s="49">
        <v>4</v>
      </c>
      <c r="N745" s="49">
        <v>1</v>
      </c>
      <c r="O745" s="49">
        <v>2</v>
      </c>
      <c r="P745" s="50" t="s">
        <v>91</v>
      </c>
      <c r="Q745" s="51">
        <v>9535</v>
      </c>
    </row>
    <row r="746" spans="12:17">
      <c r="L746" s="36" t="str">
        <f t="shared" si="35"/>
        <v>P4S2A60</v>
      </c>
      <c r="M746" s="49">
        <v>4</v>
      </c>
      <c r="N746" s="49">
        <v>1</v>
      </c>
      <c r="O746" s="49">
        <v>2</v>
      </c>
      <c r="P746" s="50" t="s">
        <v>92</v>
      </c>
      <c r="Q746" s="51">
        <v>11527</v>
      </c>
    </row>
    <row r="747" spans="12:17">
      <c r="L747" s="36" t="str">
        <f t="shared" si="35"/>
        <v>P4S2A61</v>
      </c>
      <c r="M747" s="49">
        <v>4</v>
      </c>
      <c r="N747" s="49">
        <v>1</v>
      </c>
      <c r="O747" s="49">
        <v>2</v>
      </c>
      <c r="P747" s="50" t="s">
        <v>93</v>
      </c>
      <c r="Q747" s="51">
        <v>11527</v>
      </c>
    </row>
    <row r="748" spans="12:17">
      <c r="L748" s="36" t="str">
        <f t="shared" si="35"/>
        <v>P4S2A62</v>
      </c>
      <c r="M748" s="49">
        <v>4</v>
      </c>
      <c r="N748" s="49">
        <v>1</v>
      </c>
      <c r="O748" s="49">
        <v>2</v>
      </c>
      <c r="P748" s="50" t="s">
        <v>94</v>
      </c>
      <c r="Q748" s="51">
        <v>11527</v>
      </c>
    </row>
    <row r="749" spans="12:17">
      <c r="L749" s="36" t="str">
        <f t="shared" si="35"/>
        <v>P4S2A63</v>
      </c>
      <c r="M749" s="49">
        <v>4</v>
      </c>
      <c r="N749" s="49">
        <v>1</v>
      </c>
      <c r="O749" s="49">
        <v>2</v>
      </c>
      <c r="P749" s="50" t="s">
        <v>95</v>
      </c>
      <c r="Q749" s="51">
        <v>11527</v>
      </c>
    </row>
    <row r="750" spans="12:17">
      <c r="L750" s="36" t="str">
        <f t="shared" si="35"/>
        <v>P4S2A64</v>
      </c>
      <c r="M750" s="49">
        <v>4</v>
      </c>
      <c r="N750" s="49">
        <v>1</v>
      </c>
      <c r="O750" s="49">
        <v>2</v>
      </c>
      <c r="P750" s="50" t="s">
        <v>96</v>
      </c>
      <c r="Q750" s="51">
        <v>11527</v>
      </c>
    </row>
    <row r="751" spans="12:17">
      <c r="L751" s="36" t="str">
        <f t="shared" si="35"/>
        <v>P4S2A65</v>
      </c>
      <c r="M751" s="49">
        <v>4</v>
      </c>
      <c r="N751" s="49">
        <v>1</v>
      </c>
      <c r="O751" s="49">
        <v>2</v>
      </c>
      <c r="P751" s="50" t="s">
        <v>97</v>
      </c>
      <c r="Q751" s="51">
        <v>15251</v>
      </c>
    </row>
    <row r="752" spans="12:17">
      <c r="L752" s="36" t="str">
        <f t="shared" si="35"/>
        <v>P4S2A66</v>
      </c>
      <c r="M752" s="49">
        <v>4</v>
      </c>
      <c r="N752" s="49">
        <v>1</v>
      </c>
      <c r="O752" s="49">
        <v>2</v>
      </c>
      <c r="P752" s="50" t="s">
        <v>98</v>
      </c>
      <c r="Q752" s="51">
        <v>15251</v>
      </c>
    </row>
    <row r="753" spans="12:17">
      <c r="L753" s="36" t="str">
        <f t="shared" si="35"/>
        <v>P4S2A67</v>
      </c>
      <c r="M753" s="49">
        <v>4</v>
      </c>
      <c r="N753" s="49">
        <v>1</v>
      </c>
      <c r="O753" s="49">
        <v>2</v>
      </c>
      <c r="P753" s="50" t="s">
        <v>99</v>
      </c>
      <c r="Q753" s="51">
        <v>15251</v>
      </c>
    </row>
    <row r="754" spans="12:17">
      <c r="L754" s="36" t="str">
        <f t="shared" si="35"/>
        <v>P4S2A68</v>
      </c>
      <c r="M754" s="49">
        <v>4</v>
      </c>
      <c r="N754" s="49">
        <v>1</v>
      </c>
      <c r="O754" s="49">
        <v>2</v>
      </c>
      <c r="P754" s="50" t="s">
        <v>100</v>
      </c>
      <c r="Q754" s="51">
        <v>15251</v>
      </c>
    </row>
    <row r="755" spans="12:17">
      <c r="L755" s="36" t="str">
        <f t="shared" si="35"/>
        <v>P4S2A69</v>
      </c>
      <c r="M755" s="49">
        <v>4</v>
      </c>
      <c r="N755" s="49">
        <v>1</v>
      </c>
      <c r="O755" s="49">
        <v>2</v>
      </c>
      <c r="P755" s="50" t="s">
        <v>101</v>
      </c>
      <c r="Q755" s="51">
        <v>15251</v>
      </c>
    </row>
    <row r="756" spans="12:17">
      <c r="L756" s="36" t="str">
        <f t="shared" si="35"/>
        <v>P4S2A70</v>
      </c>
      <c r="M756" s="49">
        <v>4</v>
      </c>
      <c r="N756" s="49">
        <v>1</v>
      </c>
      <c r="O756" s="49">
        <v>2</v>
      </c>
      <c r="P756" s="50" t="s">
        <v>102</v>
      </c>
      <c r="Q756" s="51">
        <v>19627</v>
      </c>
    </row>
    <row r="757" spans="12:17">
      <c r="L757" s="36" t="str">
        <f t="shared" si="35"/>
        <v>P4S2A71</v>
      </c>
      <c r="M757" s="49">
        <v>4</v>
      </c>
      <c r="N757" s="49">
        <v>1</v>
      </c>
      <c r="O757" s="49">
        <v>2</v>
      </c>
      <c r="P757" s="50" t="s">
        <v>103</v>
      </c>
      <c r="Q757" s="51">
        <v>19627</v>
      </c>
    </row>
    <row r="758" spans="12:17">
      <c r="L758" s="36" t="str">
        <f t="shared" si="35"/>
        <v>P4S2A72</v>
      </c>
      <c r="M758" s="49">
        <v>4</v>
      </c>
      <c r="N758" s="49">
        <v>1</v>
      </c>
      <c r="O758" s="49">
        <v>2</v>
      </c>
      <c r="P758" s="50" t="s">
        <v>104</v>
      </c>
      <c r="Q758" s="51">
        <v>19627</v>
      </c>
    </row>
    <row r="759" spans="12:17">
      <c r="L759" s="36" t="str">
        <f t="shared" si="35"/>
        <v>P4S2A73</v>
      </c>
      <c r="M759" s="49">
        <v>4</v>
      </c>
      <c r="N759" s="49">
        <v>1</v>
      </c>
      <c r="O759" s="49">
        <v>2</v>
      </c>
      <c r="P759" s="50" t="s">
        <v>105</v>
      </c>
      <c r="Q759" s="51">
        <v>19627</v>
      </c>
    </row>
    <row r="760" spans="12:17">
      <c r="L760" s="36" t="str">
        <f t="shared" si="35"/>
        <v>P4S2A74</v>
      </c>
      <c r="M760" s="49">
        <v>4</v>
      </c>
      <c r="N760" s="49">
        <v>1</v>
      </c>
      <c r="O760" s="49">
        <v>2</v>
      </c>
      <c r="P760" s="50" t="s">
        <v>106</v>
      </c>
      <c r="Q760" s="51">
        <v>19627</v>
      </c>
    </row>
    <row r="761" spans="12:17">
      <c r="L761" s="36" t="str">
        <f t="shared" si="35"/>
        <v>P4S2A75</v>
      </c>
      <c r="M761" s="49">
        <v>4</v>
      </c>
      <c r="N761" s="49">
        <v>1</v>
      </c>
      <c r="O761" s="49">
        <v>2</v>
      </c>
      <c r="P761" s="50" t="s">
        <v>107</v>
      </c>
      <c r="Q761" s="51">
        <v>19627</v>
      </c>
    </row>
    <row r="762" spans="12:17">
      <c r="L762" s="36" t="str">
        <f t="shared" si="35"/>
        <v>P5S2A00</v>
      </c>
      <c r="M762" s="49">
        <v>5</v>
      </c>
      <c r="N762" s="49">
        <v>1</v>
      </c>
      <c r="O762" s="49">
        <v>2</v>
      </c>
      <c r="P762" s="50" t="s">
        <v>32</v>
      </c>
      <c r="Q762" s="51">
        <v>4930</v>
      </c>
    </row>
    <row r="763" spans="12:17">
      <c r="L763" s="36" t="str">
        <f t="shared" si="35"/>
        <v>P5S2A01</v>
      </c>
      <c r="M763" s="49">
        <v>5</v>
      </c>
      <c r="N763" s="49">
        <v>1</v>
      </c>
      <c r="O763" s="49">
        <v>2</v>
      </c>
      <c r="P763" s="50" t="s">
        <v>33</v>
      </c>
      <c r="Q763" s="51">
        <v>4930</v>
      </c>
    </row>
    <row r="764" spans="12:17">
      <c r="L764" s="36" t="str">
        <f t="shared" si="35"/>
        <v>P5S2A02</v>
      </c>
      <c r="M764" s="49">
        <v>5</v>
      </c>
      <c r="N764" s="49">
        <v>1</v>
      </c>
      <c r="O764" s="49">
        <v>2</v>
      </c>
      <c r="P764" s="50" t="s">
        <v>34</v>
      </c>
      <c r="Q764" s="51">
        <v>4930</v>
      </c>
    </row>
    <row r="765" spans="12:17">
      <c r="L765" s="36" t="str">
        <f t="shared" si="35"/>
        <v>P5S2A03</v>
      </c>
      <c r="M765" s="49">
        <v>5</v>
      </c>
      <c r="N765" s="49">
        <v>1</v>
      </c>
      <c r="O765" s="49">
        <v>2</v>
      </c>
      <c r="P765" s="50" t="s">
        <v>35</v>
      </c>
      <c r="Q765" s="51">
        <v>4930</v>
      </c>
    </row>
    <row r="766" spans="12:17">
      <c r="L766" s="36" t="str">
        <f t="shared" si="35"/>
        <v>P5S2A04</v>
      </c>
      <c r="M766" s="49">
        <v>5</v>
      </c>
      <c r="N766" s="49">
        <v>1</v>
      </c>
      <c r="O766" s="49">
        <v>2</v>
      </c>
      <c r="P766" s="50" t="s">
        <v>36</v>
      </c>
      <c r="Q766" s="51">
        <v>4930</v>
      </c>
    </row>
    <row r="767" spans="12:17">
      <c r="L767" s="36" t="str">
        <f t="shared" si="35"/>
        <v>P5S2A05</v>
      </c>
      <c r="M767" s="49">
        <v>5</v>
      </c>
      <c r="N767" s="49">
        <v>1</v>
      </c>
      <c r="O767" s="49">
        <v>2</v>
      </c>
      <c r="P767" s="50" t="s">
        <v>37</v>
      </c>
      <c r="Q767" s="51">
        <v>4930</v>
      </c>
    </row>
    <row r="768" spans="12:17">
      <c r="L768" s="36" t="str">
        <f t="shared" si="35"/>
        <v>P5S2A06</v>
      </c>
      <c r="M768" s="49">
        <v>5</v>
      </c>
      <c r="N768" s="49">
        <v>1</v>
      </c>
      <c r="O768" s="49">
        <v>2</v>
      </c>
      <c r="P768" s="50" t="s">
        <v>38</v>
      </c>
      <c r="Q768" s="51">
        <v>4930</v>
      </c>
    </row>
    <row r="769" spans="12:17">
      <c r="L769" s="36" t="str">
        <f t="shared" si="35"/>
        <v>P5S2A07</v>
      </c>
      <c r="M769" s="49">
        <v>5</v>
      </c>
      <c r="N769" s="49">
        <v>1</v>
      </c>
      <c r="O769" s="49">
        <v>2</v>
      </c>
      <c r="P769" s="50" t="s">
        <v>39</v>
      </c>
      <c r="Q769" s="51">
        <v>4930</v>
      </c>
    </row>
    <row r="770" spans="12:17">
      <c r="L770" s="36" t="str">
        <f t="shared" ref="L770:L833" si="36">"P"&amp;M770&amp;"S"&amp;O770&amp;"A"&amp;REPT("0",2-LEN(P770))&amp;P770</f>
        <v>P5S2A08</v>
      </c>
      <c r="M770" s="49">
        <v>5</v>
      </c>
      <c r="N770" s="49">
        <v>1</v>
      </c>
      <c r="O770" s="49">
        <v>2</v>
      </c>
      <c r="P770" s="50" t="s">
        <v>40</v>
      </c>
      <c r="Q770" s="51">
        <v>4930</v>
      </c>
    </row>
    <row r="771" spans="12:17">
      <c r="L771" s="36" t="str">
        <f t="shared" si="36"/>
        <v>P5S2A09</v>
      </c>
      <c r="M771" s="49">
        <v>5</v>
      </c>
      <c r="N771" s="49">
        <v>1</v>
      </c>
      <c r="O771" s="49">
        <v>2</v>
      </c>
      <c r="P771" s="50" t="s">
        <v>41</v>
      </c>
      <c r="Q771" s="51">
        <v>4930</v>
      </c>
    </row>
    <row r="772" spans="12:17">
      <c r="L772" s="36" t="str">
        <f t="shared" si="36"/>
        <v>P5S2A10</v>
      </c>
      <c r="M772" s="49">
        <v>5</v>
      </c>
      <c r="N772" s="49">
        <v>1</v>
      </c>
      <c r="O772" s="49">
        <v>2</v>
      </c>
      <c r="P772" s="50" t="s">
        <v>42</v>
      </c>
      <c r="Q772" s="51">
        <v>4930</v>
      </c>
    </row>
    <row r="773" spans="12:17">
      <c r="L773" s="36" t="str">
        <f t="shared" si="36"/>
        <v>P5S2A11</v>
      </c>
      <c r="M773" s="49">
        <v>5</v>
      </c>
      <c r="N773" s="49">
        <v>1</v>
      </c>
      <c r="O773" s="49">
        <v>2</v>
      </c>
      <c r="P773" s="50" t="s">
        <v>43</v>
      </c>
      <c r="Q773" s="51">
        <v>4930</v>
      </c>
    </row>
    <row r="774" spans="12:17">
      <c r="L774" s="36" t="str">
        <f t="shared" si="36"/>
        <v>P5S2A12</v>
      </c>
      <c r="M774" s="49">
        <v>5</v>
      </c>
      <c r="N774" s="49">
        <v>1</v>
      </c>
      <c r="O774" s="49">
        <v>2</v>
      </c>
      <c r="P774" s="50" t="s">
        <v>44</v>
      </c>
      <c r="Q774" s="51">
        <v>4930</v>
      </c>
    </row>
    <row r="775" spans="12:17">
      <c r="L775" s="36" t="str">
        <f t="shared" si="36"/>
        <v>P5S2A13</v>
      </c>
      <c r="M775" s="49">
        <v>5</v>
      </c>
      <c r="N775" s="49">
        <v>1</v>
      </c>
      <c r="O775" s="49">
        <v>2</v>
      </c>
      <c r="P775" s="50" t="s">
        <v>45</v>
      </c>
      <c r="Q775" s="51">
        <v>4930</v>
      </c>
    </row>
    <row r="776" spans="12:17">
      <c r="L776" s="36" t="str">
        <f t="shared" si="36"/>
        <v>P5S2A14</v>
      </c>
      <c r="M776" s="49">
        <v>5</v>
      </c>
      <c r="N776" s="49">
        <v>1</v>
      </c>
      <c r="O776" s="49">
        <v>2</v>
      </c>
      <c r="P776" s="50" t="s">
        <v>46</v>
      </c>
      <c r="Q776" s="51">
        <v>4930</v>
      </c>
    </row>
    <row r="777" spans="12:17">
      <c r="L777" s="36" t="str">
        <f t="shared" si="36"/>
        <v>P5S2A15</v>
      </c>
      <c r="M777" s="49">
        <v>5</v>
      </c>
      <c r="N777" s="49">
        <v>1</v>
      </c>
      <c r="O777" s="49">
        <v>2</v>
      </c>
      <c r="P777" s="50" t="s">
        <v>47</v>
      </c>
      <c r="Q777" s="51">
        <v>2357</v>
      </c>
    </row>
    <row r="778" spans="12:17">
      <c r="L778" s="36" t="str">
        <f t="shared" si="36"/>
        <v>P5S2A16</v>
      </c>
      <c r="M778" s="49">
        <v>5</v>
      </c>
      <c r="N778" s="49">
        <v>1</v>
      </c>
      <c r="O778" s="49">
        <v>2</v>
      </c>
      <c r="P778" s="50" t="s">
        <v>48</v>
      </c>
      <c r="Q778" s="51">
        <v>2357</v>
      </c>
    </row>
    <row r="779" spans="12:17">
      <c r="L779" s="36" t="str">
        <f t="shared" si="36"/>
        <v>P5S2A17</v>
      </c>
      <c r="M779" s="49">
        <v>5</v>
      </c>
      <c r="N779" s="49">
        <v>1</v>
      </c>
      <c r="O779" s="49">
        <v>2</v>
      </c>
      <c r="P779" s="50" t="s">
        <v>49</v>
      </c>
      <c r="Q779" s="51">
        <v>2357</v>
      </c>
    </row>
    <row r="780" spans="12:17">
      <c r="L780" s="36" t="str">
        <f t="shared" si="36"/>
        <v>P5S2A18</v>
      </c>
      <c r="M780" s="49">
        <v>5</v>
      </c>
      <c r="N780" s="49">
        <v>1</v>
      </c>
      <c r="O780" s="49">
        <v>2</v>
      </c>
      <c r="P780" s="50" t="s">
        <v>50</v>
      </c>
      <c r="Q780" s="51">
        <v>2357</v>
      </c>
    </row>
    <row r="781" spans="12:17">
      <c r="L781" s="36" t="str">
        <f t="shared" si="36"/>
        <v>P5S2A19</v>
      </c>
      <c r="M781" s="49">
        <v>5</v>
      </c>
      <c r="N781" s="49">
        <v>1</v>
      </c>
      <c r="O781" s="49">
        <v>2</v>
      </c>
      <c r="P781" s="50" t="s">
        <v>51</v>
      </c>
      <c r="Q781" s="51">
        <v>2357</v>
      </c>
    </row>
    <row r="782" spans="12:17">
      <c r="L782" s="36" t="str">
        <f t="shared" si="36"/>
        <v>P5S2A20</v>
      </c>
      <c r="M782" s="49">
        <v>5</v>
      </c>
      <c r="N782" s="49">
        <v>1</v>
      </c>
      <c r="O782" s="49">
        <v>2</v>
      </c>
      <c r="P782" s="50" t="s">
        <v>52</v>
      </c>
      <c r="Q782" s="51">
        <v>3247</v>
      </c>
    </row>
    <row r="783" spans="12:17">
      <c r="L783" s="36" t="str">
        <f t="shared" si="36"/>
        <v>P5S2A21</v>
      </c>
      <c r="M783" s="49">
        <v>5</v>
      </c>
      <c r="N783" s="49">
        <v>1</v>
      </c>
      <c r="O783" s="49">
        <v>2</v>
      </c>
      <c r="P783" s="50" t="s">
        <v>53</v>
      </c>
      <c r="Q783" s="51">
        <v>3247</v>
      </c>
    </row>
    <row r="784" spans="12:17">
      <c r="L784" s="36" t="str">
        <f t="shared" si="36"/>
        <v>P5S2A22</v>
      </c>
      <c r="M784" s="49">
        <v>5</v>
      </c>
      <c r="N784" s="49">
        <v>1</v>
      </c>
      <c r="O784" s="49">
        <v>2</v>
      </c>
      <c r="P784" s="50" t="s">
        <v>54</v>
      </c>
      <c r="Q784" s="51">
        <v>3247</v>
      </c>
    </row>
    <row r="785" spans="12:17">
      <c r="L785" s="36" t="str">
        <f t="shared" si="36"/>
        <v>P5S2A23</v>
      </c>
      <c r="M785" s="49">
        <v>5</v>
      </c>
      <c r="N785" s="49">
        <v>1</v>
      </c>
      <c r="O785" s="49">
        <v>2</v>
      </c>
      <c r="P785" s="50" t="s">
        <v>55</v>
      </c>
      <c r="Q785" s="51">
        <v>3247</v>
      </c>
    </row>
    <row r="786" spans="12:17">
      <c r="L786" s="36" t="str">
        <f t="shared" si="36"/>
        <v>P5S2A24</v>
      </c>
      <c r="M786" s="49">
        <v>5</v>
      </c>
      <c r="N786" s="49">
        <v>1</v>
      </c>
      <c r="O786" s="49">
        <v>2</v>
      </c>
      <c r="P786" s="50" t="s">
        <v>56</v>
      </c>
      <c r="Q786" s="51">
        <v>3247</v>
      </c>
    </row>
    <row r="787" spans="12:17">
      <c r="L787" s="36" t="str">
        <f t="shared" si="36"/>
        <v>P5S2A25</v>
      </c>
      <c r="M787" s="49">
        <v>5</v>
      </c>
      <c r="N787" s="49">
        <v>1</v>
      </c>
      <c r="O787" s="49">
        <v>2</v>
      </c>
      <c r="P787" s="50" t="s">
        <v>57</v>
      </c>
      <c r="Q787" s="51">
        <v>5271</v>
      </c>
    </row>
    <row r="788" spans="12:17">
      <c r="L788" s="36" t="str">
        <f t="shared" si="36"/>
        <v>P5S2A26</v>
      </c>
      <c r="M788" s="49">
        <v>5</v>
      </c>
      <c r="N788" s="49">
        <v>1</v>
      </c>
      <c r="O788" s="49">
        <v>2</v>
      </c>
      <c r="P788" s="50" t="s">
        <v>58</v>
      </c>
      <c r="Q788" s="51">
        <v>5271</v>
      </c>
    </row>
    <row r="789" spans="12:17">
      <c r="L789" s="36" t="str">
        <f t="shared" si="36"/>
        <v>P5S2A27</v>
      </c>
      <c r="M789" s="49">
        <v>5</v>
      </c>
      <c r="N789" s="49">
        <v>1</v>
      </c>
      <c r="O789" s="49">
        <v>2</v>
      </c>
      <c r="P789" s="50" t="s">
        <v>59</v>
      </c>
      <c r="Q789" s="51">
        <v>5271</v>
      </c>
    </row>
    <row r="790" spans="12:17">
      <c r="L790" s="36" t="str">
        <f t="shared" si="36"/>
        <v>P5S2A28</v>
      </c>
      <c r="M790" s="49">
        <v>5</v>
      </c>
      <c r="N790" s="49">
        <v>1</v>
      </c>
      <c r="O790" s="49">
        <v>2</v>
      </c>
      <c r="P790" s="50" t="s">
        <v>60</v>
      </c>
      <c r="Q790" s="51">
        <v>5271</v>
      </c>
    </row>
    <row r="791" spans="12:17">
      <c r="L791" s="36" t="str">
        <f t="shared" si="36"/>
        <v>P5S2A29</v>
      </c>
      <c r="M791" s="49">
        <v>5</v>
      </c>
      <c r="N791" s="49">
        <v>1</v>
      </c>
      <c r="O791" s="49">
        <v>2</v>
      </c>
      <c r="P791" s="50" t="s">
        <v>61</v>
      </c>
      <c r="Q791" s="51">
        <v>5271</v>
      </c>
    </row>
    <row r="792" spans="12:17">
      <c r="L792" s="36" t="str">
        <f t="shared" si="36"/>
        <v>P5S2A30</v>
      </c>
      <c r="M792" s="49">
        <v>5</v>
      </c>
      <c r="N792" s="49">
        <v>1</v>
      </c>
      <c r="O792" s="49">
        <v>2</v>
      </c>
      <c r="P792" s="50" t="s">
        <v>62</v>
      </c>
      <c r="Q792" s="51">
        <v>6880</v>
      </c>
    </row>
    <row r="793" spans="12:17">
      <c r="L793" s="36" t="str">
        <f t="shared" si="36"/>
        <v>P5S2A31</v>
      </c>
      <c r="M793" s="49">
        <v>5</v>
      </c>
      <c r="N793" s="49">
        <v>1</v>
      </c>
      <c r="O793" s="49">
        <v>2</v>
      </c>
      <c r="P793" s="50" t="s">
        <v>63</v>
      </c>
      <c r="Q793" s="51">
        <v>6880</v>
      </c>
    </row>
    <row r="794" spans="12:17">
      <c r="L794" s="36" t="str">
        <f t="shared" si="36"/>
        <v>P5S2A32</v>
      </c>
      <c r="M794" s="49">
        <v>5</v>
      </c>
      <c r="N794" s="49">
        <v>1</v>
      </c>
      <c r="O794" s="49">
        <v>2</v>
      </c>
      <c r="P794" s="50" t="s">
        <v>64</v>
      </c>
      <c r="Q794" s="51">
        <v>6880</v>
      </c>
    </row>
    <row r="795" spans="12:17">
      <c r="L795" s="36" t="str">
        <f t="shared" si="36"/>
        <v>P5S2A33</v>
      </c>
      <c r="M795" s="49">
        <v>5</v>
      </c>
      <c r="N795" s="49">
        <v>1</v>
      </c>
      <c r="O795" s="49">
        <v>2</v>
      </c>
      <c r="P795" s="50" t="s">
        <v>65</v>
      </c>
      <c r="Q795" s="51">
        <v>6880</v>
      </c>
    </row>
    <row r="796" spans="12:17">
      <c r="L796" s="36" t="str">
        <f t="shared" si="36"/>
        <v>P5S2A34</v>
      </c>
      <c r="M796" s="49">
        <v>5</v>
      </c>
      <c r="N796" s="49">
        <v>1</v>
      </c>
      <c r="O796" s="49">
        <v>2</v>
      </c>
      <c r="P796" s="50" t="s">
        <v>66</v>
      </c>
      <c r="Q796" s="51">
        <v>6880</v>
      </c>
    </row>
    <row r="797" spans="12:17">
      <c r="L797" s="36" t="str">
        <f t="shared" si="36"/>
        <v>P5S2A35</v>
      </c>
      <c r="M797" s="49">
        <v>5</v>
      </c>
      <c r="N797" s="49">
        <v>1</v>
      </c>
      <c r="O797" s="49">
        <v>2</v>
      </c>
      <c r="P797" s="50" t="s">
        <v>67</v>
      </c>
      <c r="Q797" s="51">
        <v>7191</v>
      </c>
    </row>
    <row r="798" spans="12:17">
      <c r="L798" s="36" t="str">
        <f t="shared" si="36"/>
        <v>P5S2A36</v>
      </c>
      <c r="M798" s="49">
        <v>5</v>
      </c>
      <c r="N798" s="49">
        <v>1</v>
      </c>
      <c r="O798" s="49">
        <v>2</v>
      </c>
      <c r="P798" s="50" t="s">
        <v>68</v>
      </c>
      <c r="Q798" s="51">
        <v>7191</v>
      </c>
    </row>
    <row r="799" spans="12:17">
      <c r="L799" s="36" t="str">
        <f t="shared" si="36"/>
        <v>P5S2A37</v>
      </c>
      <c r="M799" s="49">
        <v>5</v>
      </c>
      <c r="N799" s="49">
        <v>1</v>
      </c>
      <c r="O799" s="49">
        <v>2</v>
      </c>
      <c r="P799" s="50" t="s">
        <v>69</v>
      </c>
      <c r="Q799" s="51">
        <v>7191</v>
      </c>
    </row>
    <row r="800" spans="12:17">
      <c r="L800" s="36" t="str">
        <f t="shared" si="36"/>
        <v>P5S2A38</v>
      </c>
      <c r="M800" s="49">
        <v>5</v>
      </c>
      <c r="N800" s="49">
        <v>1</v>
      </c>
      <c r="O800" s="49">
        <v>2</v>
      </c>
      <c r="P800" s="50" t="s">
        <v>70</v>
      </c>
      <c r="Q800" s="51">
        <v>7191</v>
      </c>
    </row>
    <row r="801" spans="12:17">
      <c r="L801" s="36" t="str">
        <f t="shared" si="36"/>
        <v>P5S2A39</v>
      </c>
      <c r="M801" s="49">
        <v>5</v>
      </c>
      <c r="N801" s="49">
        <v>1</v>
      </c>
      <c r="O801" s="49">
        <v>2</v>
      </c>
      <c r="P801" s="50" t="s">
        <v>71</v>
      </c>
      <c r="Q801" s="51">
        <v>7191</v>
      </c>
    </row>
    <row r="802" spans="12:17">
      <c r="L802" s="36" t="str">
        <f t="shared" si="36"/>
        <v>P5S2A40</v>
      </c>
      <c r="M802" s="49">
        <v>5</v>
      </c>
      <c r="N802" s="49">
        <v>1</v>
      </c>
      <c r="O802" s="49">
        <v>2</v>
      </c>
      <c r="P802" s="50" t="s">
        <v>72</v>
      </c>
      <c r="Q802" s="51">
        <v>7440</v>
      </c>
    </row>
    <row r="803" spans="12:17">
      <c r="L803" s="36" t="str">
        <f t="shared" si="36"/>
        <v>P5S2A41</v>
      </c>
      <c r="M803" s="49">
        <v>5</v>
      </c>
      <c r="N803" s="49">
        <v>1</v>
      </c>
      <c r="O803" s="49">
        <v>2</v>
      </c>
      <c r="P803" s="50" t="s">
        <v>73</v>
      </c>
      <c r="Q803" s="51">
        <v>7440</v>
      </c>
    </row>
    <row r="804" spans="12:17">
      <c r="L804" s="36" t="str">
        <f t="shared" si="36"/>
        <v>P5S2A42</v>
      </c>
      <c r="M804" s="49">
        <v>5</v>
      </c>
      <c r="N804" s="49">
        <v>1</v>
      </c>
      <c r="O804" s="49">
        <v>2</v>
      </c>
      <c r="P804" s="50" t="s">
        <v>74</v>
      </c>
      <c r="Q804" s="51">
        <v>7440</v>
      </c>
    </row>
    <row r="805" spans="12:17">
      <c r="L805" s="36" t="str">
        <f t="shared" si="36"/>
        <v>P5S2A43</v>
      </c>
      <c r="M805" s="49">
        <v>5</v>
      </c>
      <c r="N805" s="49">
        <v>1</v>
      </c>
      <c r="O805" s="49">
        <v>2</v>
      </c>
      <c r="P805" s="50" t="s">
        <v>75</v>
      </c>
      <c r="Q805" s="51">
        <v>7440</v>
      </c>
    </row>
    <row r="806" spans="12:17">
      <c r="L806" s="36" t="str">
        <f t="shared" si="36"/>
        <v>P5S2A44</v>
      </c>
      <c r="M806" s="49">
        <v>5</v>
      </c>
      <c r="N806" s="49">
        <v>1</v>
      </c>
      <c r="O806" s="49">
        <v>2</v>
      </c>
      <c r="P806" s="50" t="s">
        <v>76</v>
      </c>
      <c r="Q806" s="51">
        <v>7440</v>
      </c>
    </row>
    <row r="807" spans="12:17">
      <c r="L807" s="36" t="str">
        <f t="shared" si="36"/>
        <v>P5S2A45</v>
      </c>
      <c r="M807" s="49">
        <v>5</v>
      </c>
      <c r="N807" s="49">
        <v>1</v>
      </c>
      <c r="O807" s="49">
        <v>2</v>
      </c>
      <c r="P807" s="50" t="s">
        <v>77</v>
      </c>
      <c r="Q807" s="51">
        <v>8854</v>
      </c>
    </row>
    <row r="808" spans="12:17">
      <c r="L808" s="36" t="str">
        <f t="shared" si="36"/>
        <v>P5S2A46</v>
      </c>
      <c r="M808" s="49">
        <v>5</v>
      </c>
      <c r="N808" s="49">
        <v>1</v>
      </c>
      <c r="O808" s="49">
        <v>2</v>
      </c>
      <c r="P808" s="50" t="s">
        <v>78</v>
      </c>
      <c r="Q808" s="51">
        <v>8854</v>
      </c>
    </row>
    <row r="809" spans="12:17">
      <c r="L809" s="36" t="str">
        <f t="shared" si="36"/>
        <v>P5S2A47</v>
      </c>
      <c r="M809" s="49">
        <v>5</v>
      </c>
      <c r="N809" s="49">
        <v>1</v>
      </c>
      <c r="O809" s="49">
        <v>2</v>
      </c>
      <c r="P809" s="50" t="s">
        <v>79</v>
      </c>
      <c r="Q809" s="51">
        <v>8854</v>
      </c>
    </row>
    <row r="810" spans="12:17">
      <c r="L810" s="36" t="str">
        <f t="shared" si="36"/>
        <v>P5S2A48</v>
      </c>
      <c r="M810" s="49">
        <v>5</v>
      </c>
      <c r="N810" s="49">
        <v>1</v>
      </c>
      <c r="O810" s="49">
        <v>2</v>
      </c>
      <c r="P810" s="50" t="s">
        <v>80</v>
      </c>
      <c r="Q810" s="51">
        <v>8854</v>
      </c>
    </row>
    <row r="811" spans="12:17">
      <c r="L811" s="36" t="str">
        <f t="shared" si="36"/>
        <v>P5S2A49</v>
      </c>
      <c r="M811" s="49">
        <v>5</v>
      </c>
      <c r="N811" s="49">
        <v>1</v>
      </c>
      <c r="O811" s="49">
        <v>2</v>
      </c>
      <c r="P811" s="50" t="s">
        <v>81</v>
      </c>
      <c r="Q811" s="51">
        <v>8854</v>
      </c>
    </row>
    <row r="812" spans="12:17">
      <c r="L812" s="36" t="str">
        <f t="shared" si="36"/>
        <v>P5S2A50</v>
      </c>
      <c r="M812" s="49">
        <v>5</v>
      </c>
      <c r="N812" s="49">
        <v>1</v>
      </c>
      <c r="O812" s="49">
        <v>2</v>
      </c>
      <c r="P812" s="50" t="s">
        <v>82</v>
      </c>
      <c r="Q812" s="51">
        <v>10109</v>
      </c>
    </row>
    <row r="813" spans="12:17">
      <c r="L813" s="36" t="str">
        <f t="shared" si="36"/>
        <v>P5S2A51</v>
      </c>
      <c r="M813" s="49">
        <v>5</v>
      </c>
      <c r="N813" s="49">
        <v>1</v>
      </c>
      <c r="O813" s="49">
        <v>2</v>
      </c>
      <c r="P813" s="50" t="s">
        <v>83</v>
      </c>
      <c r="Q813" s="51">
        <v>10109</v>
      </c>
    </row>
    <row r="814" spans="12:17">
      <c r="L814" s="36" t="str">
        <f t="shared" si="36"/>
        <v>P5S2A52</v>
      </c>
      <c r="M814" s="49">
        <v>5</v>
      </c>
      <c r="N814" s="49">
        <v>1</v>
      </c>
      <c r="O814" s="49">
        <v>2</v>
      </c>
      <c r="P814" s="50" t="s">
        <v>84</v>
      </c>
      <c r="Q814" s="51">
        <v>10109</v>
      </c>
    </row>
    <row r="815" spans="12:17">
      <c r="L815" s="36" t="str">
        <f t="shared" si="36"/>
        <v>P5S2A53</v>
      </c>
      <c r="M815" s="49">
        <v>5</v>
      </c>
      <c r="N815" s="49">
        <v>1</v>
      </c>
      <c r="O815" s="49">
        <v>2</v>
      </c>
      <c r="P815" s="50" t="s">
        <v>85</v>
      </c>
      <c r="Q815" s="51">
        <v>10109</v>
      </c>
    </row>
    <row r="816" spans="12:17">
      <c r="L816" s="36" t="str">
        <f t="shared" si="36"/>
        <v>P5S2A54</v>
      </c>
      <c r="M816" s="49">
        <v>5</v>
      </c>
      <c r="N816" s="49">
        <v>1</v>
      </c>
      <c r="O816" s="49">
        <v>2</v>
      </c>
      <c r="P816" s="50" t="s">
        <v>86</v>
      </c>
      <c r="Q816" s="51">
        <v>10109</v>
      </c>
    </row>
    <row r="817" spans="12:17">
      <c r="L817" s="36" t="str">
        <f t="shared" si="36"/>
        <v>P5S2A55</v>
      </c>
      <c r="M817" s="49">
        <v>5</v>
      </c>
      <c r="N817" s="49">
        <v>1</v>
      </c>
      <c r="O817" s="49">
        <v>2</v>
      </c>
      <c r="P817" s="50" t="s">
        <v>87</v>
      </c>
      <c r="Q817" s="51">
        <v>11800</v>
      </c>
    </row>
    <row r="818" spans="12:17">
      <c r="L818" s="36" t="str">
        <f t="shared" si="36"/>
        <v>P5S2A56</v>
      </c>
      <c r="M818" s="49">
        <v>5</v>
      </c>
      <c r="N818" s="49">
        <v>1</v>
      </c>
      <c r="O818" s="49">
        <v>2</v>
      </c>
      <c r="P818" s="50" t="s">
        <v>88</v>
      </c>
      <c r="Q818" s="51">
        <v>11800</v>
      </c>
    </row>
    <row r="819" spans="12:17">
      <c r="L819" s="36" t="str">
        <f t="shared" si="36"/>
        <v>P5S2A57</v>
      </c>
      <c r="M819" s="49">
        <v>5</v>
      </c>
      <c r="N819" s="49">
        <v>1</v>
      </c>
      <c r="O819" s="49">
        <v>2</v>
      </c>
      <c r="P819" s="50" t="s">
        <v>89</v>
      </c>
      <c r="Q819" s="51">
        <v>11800</v>
      </c>
    </row>
    <row r="820" spans="12:17">
      <c r="L820" s="36" t="str">
        <f t="shared" si="36"/>
        <v>P5S2A58</v>
      </c>
      <c r="M820" s="49">
        <v>5</v>
      </c>
      <c r="N820" s="49">
        <v>1</v>
      </c>
      <c r="O820" s="49">
        <v>2</v>
      </c>
      <c r="P820" s="50" t="s">
        <v>90</v>
      </c>
      <c r="Q820" s="51">
        <v>11800</v>
      </c>
    </row>
    <row r="821" spans="12:17">
      <c r="L821" s="36" t="str">
        <f t="shared" si="36"/>
        <v>P5S2A59</v>
      </c>
      <c r="M821" s="49">
        <v>5</v>
      </c>
      <c r="N821" s="49">
        <v>1</v>
      </c>
      <c r="O821" s="49">
        <v>2</v>
      </c>
      <c r="P821" s="50" t="s">
        <v>91</v>
      </c>
      <c r="Q821" s="51">
        <v>11800</v>
      </c>
    </row>
    <row r="822" spans="12:17">
      <c r="L822" s="36" t="str">
        <f t="shared" si="36"/>
        <v>P5S2A60</v>
      </c>
      <c r="M822" s="49">
        <v>5</v>
      </c>
      <c r="N822" s="49">
        <v>1</v>
      </c>
      <c r="O822" s="49">
        <v>2</v>
      </c>
      <c r="P822" s="50" t="s">
        <v>92</v>
      </c>
      <c r="Q822" s="51">
        <v>14265</v>
      </c>
    </row>
    <row r="823" spans="12:17">
      <c r="L823" s="36" t="str">
        <f t="shared" si="36"/>
        <v>P5S2A61</v>
      </c>
      <c r="M823" s="49">
        <v>5</v>
      </c>
      <c r="N823" s="49">
        <v>1</v>
      </c>
      <c r="O823" s="49">
        <v>2</v>
      </c>
      <c r="P823" s="50" t="s">
        <v>93</v>
      </c>
      <c r="Q823" s="51">
        <v>14265</v>
      </c>
    </row>
    <row r="824" spans="12:17">
      <c r="L824" s="36" t="str">
        <f t="shared" si="36"/>
        <v>P5S2A62</v>
      </c>
      <c r="M824" s="49">
        <v>5</v>
      </c>
      <c r="N824" s="49">
        <v>1</v>
      </c>
      <c r="O824" s="49">
        <v>2</v>
      </c>
      <c r="P824" s="50" t="s">
        <v>94</v>
      </c>
      <c r="Q824" s="51">
        <v>14265</v>
      </c>
    </row>
    <row r="825" spans="12:17">
      <c r="L825" s="36" t="str">
        <f t="shared" si="36"/>
        <v>P5S2A63</v>
      </c>
      <c r="M825" s="49">
        <v>5</v>
      </c>
      <c r="N825" s="49">
        <v>1</v>
      </c>
      <c r="O825" s="49">
        <v>2</v>
      </c>
      <c r="P825" s="50" t="s">
        <v>95</v>
      </c>
      <c r="Q825" s="51">
        <v>14265</v>
      </c>
    </row>
    <row r="826" spans="12:17">
      <c r="L826" s="36" t="str">
        <f t="shared" si="36"/>
        <v>P5S2A64</v>
      </c>
      <c r="M826" s="49">
        <v>5</v>
      </c>
      <c r="N826" s="49">
        <v>1</v>
      </c>
      <c r="O826" s="49">
        <v>2</v>
      </c>
      <c r="P826" s="50" t="s">
        <v>96</v>
      </c>
      <c r="Q826" s="51">
        <v>14265</v>
      </c>
    </row>
    <row r="827" spans="12:17">
      <c r="L827" s="36" t="str">
        <f t="shared" si="36"/>
        <v>P5S2A65</v>
      </c>
      <c r="M827" s="49">
        <v>5</v>
      </c>
      <c r="N827" s="49">
        <v>1</v>
      </c>
      <c r="O827" s="49">
        <v>2</v>
      </c>
      <c r="P827" s="50" t="s">
        <v>97</v>
      </c>
      <c r="Q827" s="51">
        <v>18874</v>
      </c>
    </row>
    <row r="828" spans="12:17">
      <c r="L828" s="36" t="str">
        <f t="shared" si="36"/>
        <v>P5S2A66</v>
      </c>
      <c r="M828" s="49">
        <v>5</v>
      </c>
      <c r="N828" s="49">
        <v>1</v>
      </c>
      <c r="O828" s="49">
        <v>2</v>
      </c>
      <c r="P828" s="50" t="s">
        <v>98</v>
      </c>
      <c r="Q828" s="51">
        <v>18874</v>
      </c>
    </row>
    <row r="829" spans="12:17">
      <c r="L829" s="36" t="str">
        <f t="shared" si="36"/>
        <v>P5S2A67</v>
      </c>
      <c r="M829" s="49">
        <v>5</v>
      </c>
      <c r="N829" s="49">
        <v>1</v>
      </c>
      <c r="O829" s="49">
        <v>2</v>
      </c>
      <c r="P829" s="50" t="s">
        <v>99</v>
      </c>
      <c r="Q829" s="51">
        <v>18874</v>
      </c>
    </row>
    <row r="830" spans="12:17">
      <c r="L830" s="36" t="str">
        <f t="shared" si="36"/>
        <v>P5S2A68</v>
      </c>
      <c r="M830" s="49">
        <v>5</v>
      </c>
      <c r="N830" s="49">
        <v>1</v>
      </c>
      <c r="O830" s="49">
        <v>2</v>
      </c>
      <c r="P830" s="50" t="s">
        <v>100</v>
      </c>
      <c r="Q830" s="51">
        <v>18874</v>
      </c>
    </row>
    <row r="831" spans="12:17">
      <c r="L831" s="36" t="str">
        <f t="shared" si="36"/>
        <v>P5S2A69</v>
      </c>
      <c r="M831" s="49">
        <v>5</v>
      </c>
      <c r="N831" s="49">
        <v>1</v>
      </c>
      <c r="O831" s="49">
        <v>2</v>
      </c>
      <c r="P831" s="50" t="s">
        <v>101</v>
      </c>
      <c r="Q831" s="51">
        <v>18874</v>
      </c>
    </row>
    <row r="832" spans="12:17">
      <c r="L832" s="36" t="str">
        <f t="shared" si="36"/>
        <v>P5S2A70</v>
      </c>
      <c r="M832" s="49">
        <v>5</v>
      </c>
      <c r="N832" s="49">
        <v>1</v>
      </c>
      <c r="O832" s="49">
        <v>2</v>
      </c>
      <c r="P832" s="50" t="s">
        <v>102</v>
      </c>
      <c r="Q832" s="51">
        <v>24290</v>
      </c>
    </row>
    <row r="833" spans="12:17">
      <c r="L833" s="36" t="str">
        <f t="shared" si="36"/>
        <v>P5S2A71</v>
      </c>
      <c r="M833" s="49">
        <v>5</v>
      </c>
      <c r="N833" s="49">
        <v>1</v>
      </c>
      <c r="O833" s="49">
        <v>2</v>
      </c>
      <c r="P833" s="50" t="s">
        <v>103</v>
      </c>
      <c r="Q833" s="51">
        <v>24290</v>
      </c>
    </row>
    <row r="834" spans="12:17">
      <c r="L834" s="36" t="str">
        <f t="shared" ref="L834:L897" si="37">"P"&amp;M834&amp;"S"&amp;O834&amp;"A"&amp;REPT("0",2-LEN(P834))&amp;P834</f>
        <v>P5S2A72</v>
      </c>
      <c r="M834" s="49">
        <v>5</v>
      </c>
      <c r="N834" s="49">
        <v>1</v>
      </c>
      <c r="O834" s="49">
        <v>2</v>
      </c>
      <c r="P834" s="50" t="s">
        <v>104</v>
      </c>
      <c r="Q834" s="51">
        <v>24290</v>
      </c>
    </row>
    <row r="835" spans="12:17">
      <c r="L835" s="36" t="str">
        <f t="shared" si="37"/>
        <v>P5S2A73</v>
      </c>
      <c r="M835" s="49">
        <v>5</v>
      </c>
      <c r="N835" s="49">
        <v>1</v>
      </c>
      <c r="O835" s="49">
        <v>2</v>
      </c>
      <c r="P835" s="50" t="s">
        <v>105</v>
      </c>
      <c r="Q835" s="51">
        <v>24290</v>
      </c>
    </row>
    <row r="836" spans="12:17">
      <c r="L836" s="36" t="str">
        <f t="shared" si="37"/>
        <v>P5S2A74</v>
      </c>
      <c r="M836" s="49">
        <v>5</v>
      </c>
      <c r="N836" s="49">
        <v>1</v>
      </c>
      <c r="O836" s="49">
        <v>2</v>
      </c>
      <c r="P836" s="50" t="s">
        <v>106</v>
      </c>
      <c r="Q836" s="51">
        <v>24290</v>
      </c>
    </row>
    <row r="837" spans="12:17">
      <c r="L837" s="36" t="str">
        <f t="shared" si="37"/>
        <v>P5S2A75</v>
      </c>
      <c r="M837" s="49">
        <v>5</v>
      </c>
      <c r="N837" s="49">
        <v>1</v>
      </c>
      <c r="O837" s="49">
        <v>2</v>
      </c>
      <c r="P837" s="50" t="s">
        <v>107</v>
      </c>
      <c r="Q837" s="51">
        <v>24290</v>
      </c>
    </row>
    <row r="838" spans="12:17">
      <c r="L838" s="36" t="str">
        <f t="shared" si="37"/>
        <v>P6S2A00</v>
      </c>
      <c r="M838" s="49">
        <v>6</v>
      </c>
      <c r="N838" s="49">
        <v>1</v>
      </c>
      <c r="O838" s="49">
        <v>2</v>
      </c>
      <c r="P838" s="50" t="s">
        <v>32</v>
      </c>
      <c r="Q838" s="51">
        <v>5857</v>
      </c>
    </row>
    <row r="839" spans="12:17">
      <c r="L839" s="36" t="str">
        <f t="shared" si="37"/>
        <v>P6S2A01</v>
      </c>
      <c r="M839" s="49">
        <v>6</v>
      </c>
      <c r="N839" s="49">
        <v>1</v>
      </c>
      <c r="O839" s="49">
        <v>2</v>
      </c>
      <c r="P839" s="50" t="s">
        <v>33</v>
      </c>
      <c r="Q839" s="51">
        <v>5857</v>
      </c>
    </row>
    <row r="840" spans="12:17">
      <c r="L840" s="36" t="str">
        <f t="shared" si="37"/>
        <v>P6S2A02</v>
      </c>
      <c r="M840" s="49">
        <v>6</v>
      </c>
      <c r="N840" s="49">
        <v>1</v>
      </c>
      <c r="O840" s="49">
        <v>2</v>
      </c>
      <c r="P840" s="50" t="s">
        <v>34</v>
      </c>
      <c r="Q840" s="51">
        <v>5857</v>
      </c>
    </row>
    <row r="841" spans="12:17">
      <c r="L841" s="36" t="str">
        <f t="shared" si="37"/>
        <v>P6S2A03</v>
      </c>
      <c r="M841" s="49">
        <v>6</v>
      </c>
      <c r="N841" s="49">
        <v>1</v>
      </c>
      <c r="O841" s="49">
        <v>2</v>
      </c>
      <c r="P841" s="50" t="s">
        <v>35</v>
      </c>
      <c r="Q841" s="51">
        <v>5857</v>
      </c>
    </row>
    <row r="842" spans="12:17">
      <c r="L842" s="36" t="str">
        <f t="shared" si="37"/>
        <v>P6S2A04</v>
      </c>
      <c r="M842" s="49">
        <v>6</v>
      </c>
      <c r="N842" s="49">
        <v>1</v>
      </c>
      <c r="O842" s="49">
        <v>2</v>
      </c>
      <c r="P842" s="50" t="s">
        <v>36</v>
      </c>
      <c r="Q842" s="51">
        <v>5857</v>
      </c>
    </row>
    <row r="843" spans="12:17">
      <c r="L843" s="36" t="str">
        <f t="shared" si="37"/>
        <v>P6S2A05</v>
      </c>
      <c r="M843" s="49">
        <v>6</v>
      </c>
      <c r="N843" s="49">
        <v>1</v>
      </c>
      <c r="O843" s="49">
        <v>2</v>
      </c>
      <c r="P843" s="50" t="s">
        <v>37</v>
      </c>
      <c r="Q843" s="51">
        <v>5857</v>
      </c>
    </row>
    <row r="844" spans="12:17">
      <c r="L844" s="36" t="str">
        <f t="shared" si="37"/>
        <v>P6S2A06</v>
      </c>
      <c r="M844" s="49">
        <v>6</v>
      </c>
      <c r="N844" s="49">
        <v>1</v>
      </c>
      <c r="O844" s="49">
        <v>2</v>
      </c>
      <c r="P844" s="50" t="s">
        <v>38</v>
      </c>
      <c r="Q844" s="51">
        <v>5857</v>
      </c>
    </row>
    <row r="845" spans="12:17">
      <c r="L845" s="36" t="str">
        <f t="shared" si="37"/>
        <v>P6S2A07</v>
      </c>
      <c r="M845" s="49">
        <v>6</v>
      </c>
      <c r="N845" s="49">
        <v>1</v>
      </c>
      <c r="O845" s="49">
        <v>2</v>
      </c>
      <c r="P845" s="50" t="s">
        <v>39</v>
      </c>
      <c r="Q845" s="51">
        <v>5857</v>
      </c>
    </row>
    <row r="846" spans="12:17">
      <c r="L846" s="36" t="str">
        <f t="shared" si="37"/>
        <v>P6S2A08</v>
      </c>
      <c r="M846" s="49">
        <v>6</v>
      </c>
      <c r="N846" s="49">
        <v>1</v>
      </c>
      <c r="O846" s="49">
        <v>2</v>
      </c>
      <c r="P846" s="50" t="s">
        <v>40</v>
      </c>
      <c r="Q846" s="51">
        <v>5857</v>
      </c>
    </row>
    <row r="847" spans="12:17">
      <c r="L847" s="36" t="str">
        <f t="shared" si="37"/>
        <v>P6S2A09</v>
      </c>
      <c r="M847" s="49">
        <v>6</v>
      </c>
      <c r="N847" s="49">
        <v>1</v>
      </c>
      <c r="O847" s="49">
        <v>2</v>
      </c>
      <c r="P847" s="50" t="s">
        <v>41</v>
      </c>
      <c r="Q847" s="51">
        <v>5857</v>
      </c>
    </row>
    <row r="848" spans="12:17">
      <c r="L848" s="36" t="str">
        <f t="shared" si="37"/>
        <v>P6S2A10</v>
      </c>
      <c r="M848" s="49">
        <v>6</v>
      </c>
      <c r="N848" s="49">
        <v>1</v>
      </c>
      <c r="O848" s="49">
        <v>2</v>
      </c>
      <c r="P848" s="50" t="s">
        <v>42</v>
      </c>
      <c r="Q848" s="51">
        <v>5857</v>
      </c>
    </row>
    <row r="849" spans="12:17">
      <c r="L849" s="36" t="str">
        <f t="shared" si="37"/>
        <v>P6S2A11</v>
      </c>
      <c r="M849" s="49">
        <v>6</v>
      </c>
      <c r="N849" s="49">
        <v>1</v>
      </c>
      <c r="O849" s="49">
        <v>2</v>
      </c>
      <c r="P849" s="50" t="s">
        <v>43</v>
      </c>
      <c r="Q849" s="51">
        <v>5857</v>
      </c>
    </row>
    <row r="850" spans="12:17">
      <c r="L850" s="36" t="str">
        <f t="shared" si="37"/>
        <v>P6S2A12</v>
      </c>
      <c r="M850" s="49">
        <v>6</v>
      </c>
      <c r="N850" s="49">
        <v>1</v>
      </c>
      <c r="O850" s="49">
        <v>2</v>
      </c>
      <c r="P850" s="50" t="s">
        <v>44</v>
      </c>
      <c r="Q850" s="51">
        <v>5857</v>
      </c>
    </row>
    <row r="851" spans="12:17">
      <c r="L851" s="36" t="str">
        <f t="shared" si="37"/>
        <v>P6S2A13</v>
      </c>
      <c r="M851" s="49">
        <v>6</v>
      </c>
      <c r="N851" s="49">
        <v>1</v>
      </c>
      <c r="O851" s="49">
        <v>2</v>
      </c>
      <c r="P851" s="50" t="s">
        <v>45</v>
      </c>
      <c r="Q851" s="51">
        <v>5857</v>
      </c>
    </row>
    <row r="852" spans="12:17">
      <c r="L852" s="36" t="str">
        <f t="shared" si="37"/>
        <v>P6S2A14</v>
      </c>
      <c r="M852" s="49">
        <v>6</v>
      </c>
      <c r="N852" s="49">
        <v>1</v>
      </c>
      <c r="O852" s="49">
        <v>2</v>
      </c>
      <c r="P852" s="50" t="s">
        <v>46</v>
      </c>
      <c r="Q852" s="51">
        <v>5857</v>
      </c>
    </row>
    <row r="853" spans="12:17">
      <c r="L853" s="36" t="str">
        <f t="shared" si="37"/>
        <v>P6S2A15</v>
      </c>
      <c r="M853" s="49">
        <v>6</v>
      </c>
      <c r="N853" s="49">
        <v>1</v>
      </c>
      <c r="O853" s="49">
        <v>2</v>
      </c>
      <c r="P853" s="50" t="s">
        <v>47</v>
      </c>
      <c r="Q853" s="51">
        <v>2800</v>
      </c>
    </row>
    <row r="854" spans="12:17">
      <c r="L854" s="36" t="str">
        <f t="shared" si="37"/>
        <v>P6S2A16</v>
      </c>
      <c r="M854" s="49">
        <v>6</v>
      </c>
      <c r="N854" s="49">
        <v>1</v>
      </c>
      <c r="O854" s="49">
        <v>2</v>
      </c>
      <c r="P854" s="50" t="s">
        <v>48</v>
      </c>
      <c r="Q854" s="51">
        <v>2800</v>
      </c>
    </row>
    <row r="855" spans="12:17">
      <c r="L855" s="36" t="str">
        <f t="shared" si="37"/>
        <v>P6S2A17</v>
      </c>
      <c r="M855" s="49">
        <v>6</v>
      </c>
      <c r="N855" s="49">
        <v>1</v>
      </c>
      <c r="O855" s="49">
        <v>2</v>
      </c>
      <c r="P855" s="50" t="s">
        <v>49</v>
      </c>
      <c r="Q855" s="51">
        <v>2800</v>
      </c>
    </row>
    <row r="856" spans="12:17">
      <c r="L856" s="36" t="str">
        <f t="shared" si="37"/>
        <v>P6S2A18</v>
      </c>
      <c r="M856" s="49">
        <v>6</v>
      </c>
      <c r="N856" s="49">
        <v>1</v>
      </c>
      <c r="O856" s="49">
        <v>2</v>
      </c>
      <c r="P856" s="50" t="s">
        <v>50</v>
      </c>
      <c r="Q856" s="51">
        <v>2800</v>
      </c>
    </row>
    <row r="857" spans="12:17">
      <c r="L857" s="36" t="str">
        <f t="shared" si="37"/>
        <v>P6S2A19</v>
      </c>
      <c r="M857" s="49">
        <v>6</v>
      </c>
      <c r="N857" s="49">
        <v>1</v>
      </c>
      <c r="O857" s="49">
        <v>2</v>
      </c>
      <c r="P857" s="50" t="s">
        <v>51</v>
      </c>
      <c r="Q857" s="51">
        <v>2800</v>
      </c>
    </row>
    <row r="858" spans="12:17">
      <c r="L858" s="36" t="str">
        <f t="shared" si="37"/>
        <v>P6S2A20</v>
      </c>
      <c r="M858" s="49">
        <v>6</v>
      </c>
      <c r="N858" s="49">
        <v>1</v>
      </c>
      <c r="O858" s="49">
        <v>2</v>
      </c>
      <c r="P858" s="50" t="s">
        <v>52</v>
      </c>
      <c r="Q858" s="51">
        <v>3858</v>
      </c>
    </row>
    <row r="859" spans="12:17">
      <c r="L859" s="36" t="str">
        <f t="shared" si="37"/>
        <v>P6S2A21</v>
      </c>
      <c r="M859" s="49">
        <v>6</v>
      </c>
      <c r="N859" s="49">
        <v>1</v>
      </c>
      <c r="O859" s="49">
        <v>2</v>
      </c>
      <c r="P859" s="50" t="s">
        <v>53</v>
      </c>
      <c r="Q859" s="51">
        <v>3858</v>
      </c>
    </row>
    <row r="860" spans="12:17">
      <c r="L860" s="36" t="str">
        <f t="shared" si="37"/>
        <v>P6S2A22</v>
      </c>
      <c r="M860" s="49">
        <v>6</v>
      </c>
      <c r="N860" s="49">
        <v>1</v>
      </c>
      <c r="O860" s="49">
        <v>2</v>
      </c>
      <c r="P860" s="50" t="s">
        <v>54</v>
      </c>
      <c r="Q860" s="51">
        <v>3858</v>
      </c>
    </row>
    <row r="861" spans="12:17">
      <c r="L861" s="36" t="str">
        <f t="shared" si="37"/>
        <v>P6S2A23</v>
      </c>
      <c r="M861" s="49">
        <v>6</v>
      </c>
      <c r="N861" s="49">
        <v>1</v>
      </c>
      <c r="O861" s="49">
        <v>2</v>
      </c>
      <c r="P861" s="50" t="s">
        <v>55</v>
      </c>
      <c r="Q861" s="51">
        <v>3858</v>
      </c>
    </row>
    <row r="862" spans="12:17">
      <c r="L862" s="36" t="str">
        <f t="shared" si="37"/>
        <v>P6S2A24</v>
      </c>
      <c r="M862" s="49">
        <v>6</v>
      </c>
      <c r="N862" s="49">
        <v>1</v>
      </c>
      <c r="O862" s="49">
        <v>2</v>
      </c>
      <c r="P862" s="50" t="s">
        <v>56</v>
      </c>
      <c r="Q862" s="51">
        <v>3858</v>
      </c>
    </row>
    <row r="863" spans="12:17">
      <c r="L863" s="36" t="str">
        <f t="shared" si="37"/>
        <v>P6S2A25</v>
      </c>
      <c r="M863" s="49">
        <v>6</v>
      </c>
      <c r="N863" s="49">
        <v>1</v>
      </c>
      <c r="O863" s="49">
        <v>2</v>
      </c>
      <c r="P863" s="50" t="s">
        <v>57</v>
      </c>
      <c r="Q863" s="51">
        <v>6262</v>
      </c>
    </row>
    <row r="864" spans="12:17">
      <c r="L864" s="36" t="str">
        <f t="shared" si="37"/>
        <v>P6S2A26</v>
      </c>
      <c r="M864" s="49">
        <v>6</v>
      </c>
      <c r="N864" s="49">
        <v>1</v>
      </c>
      <c r="O864" s="49">
        <v>2</v>
      </c>
      <c r="P864" s="50" t="s">
        <v>58</v>
      </c>
      <c r="Q864" s="51">
        <v>6262</v>
      </c>
    </row>
    <row r="865" spans="12:17">
      <c r="L865" s="36" t="str">
        <f t="shared" si="37"/>
        <v>P6S2A27</v>
      </c>
      <c r="M865" s="49">
        <v>6</v>
      </c>
      <c r="N865" s="49">
        <v>1</v>
      </c>
      <c r="O865" s="49">
        <v>2</v>
      </c>
      <c r="P865" s="50" t="s">
        <v>59</v>
      </c>
      <c r="Q865" s="51">
        <v>6262</v>
      </c>
    </row>
    <row r="866" spans="12:17">
      <c r="L866" s="36" t="str">
        <f t="shared" si="37"/>
        <v>P6S2A28</v>
      </c>
      <c r="M866" s="49">
        <v>6</v>
      </c>
      <c r="N866" s="49">
        <v>1</v>
      </c>
      <c r="O866" s="49">
        <v>2</v>
      </c>
      <c r="P866" s="50" t="s">
        <v>60</v>
      </c>
      <c r="Q866" s="51">
        <v>6262</v>
      </c>
    </row>
    <row r="867" spans="12:17">
      <c r="L867" s="36" t="str">
        <f t="shared" si="37"/>
        <v>P6S2A29</v>
      </c>
      <c r="M867" s="49">
        <v>6</v>
      </c>
      <c r="N867" s="49">
        <v>1</v>
      </c>
      <c r="O867" s="49">
        <v>2</v>
      </c>
      <c r="P867" s="50" t="s">
        <v>61</v>
      </c>
      <c r="Q867" s="51">
        <v>6262</v>
      </c>
    </row>
    <row r="868" spans="12:17">
      <c r="L868" s="36" t="str">
        <f t="shared" si="37"/>
        <v>P6S2A30</v>
      </c>
      <c r="M868" s="49">
        <v>6</v>
      </c>
      <c r="N868" s="49">
        <v>1</v>
      </c>
      <c r="O868" s="49">
        <v>2</v>
      </c>
      <c r="P868" s="50" t="s">
        <v>62</v>
      </c>
      <c r="Q868" s="51">
        <v>8173</v>
      </c>
    </row>
    <row r="869" spans="12:17">
      <c r="L869" s="36" t="str">
        <f t="shared" si="37"/>
        <v>P6S2A31</v>
      </c>
      <c r="M869" s="49">
        <v>6</v>
      </c>
      <c r="N869" s="49">
        <v>1</v>
      </c>
      <c r="O869" s="49">
        <v>2</v>
      </c>
      <c r="P869" s="50" t="s">
        <v>63</v>
      </c>
      <c r="Q869" s="51">
        <v>8173</v>
      </c>
    </row>
    <row r="870" spans="12:17">
      <c r="L870" s="36" t="str">
        <f t="shared" si="37"/>
        <v>P6S2A32</v>
      </c>
      <c r="M870" s="49">
        <v>6</v>
      </c>
      <c r="N870" s="49">
        <v>1</v>
      </c>
      <c r="O870" s="49">
        <v>2</v>
      </c>
      <c r="P870" s="50" t="s">
        <v>64</v>
      </c>
      <c r="Q870" s="51">
        <v>8173</v>
      </c>
    </row>
    <row r="871" spans="12:17">
      <c r="L871" s="36" t="str">
        <f t="shared" si="37"/>
        <v>P6S2A33</v>
      </c>
      <c r="M871" s="49">
        <v>6</v>
      </c>
      <c r="N871" s="49">
        <v>1</v>
      </c>
      <c r="O871" s="49">
        <v>2</v>
      </c>
      <c r="P871" s="50" t="s">
        <v>65</v>
      </c>
      <c r="Q871" s="51">
        <v>8173</v>
      </c>
    </row>
    <row r="872" spans="12:17">
      <c r="L872" s="36" t="str">
        <f t="shared" si="37"/>
        <v>P6S2A34</v>
      </c>
      <c r="M872" s="49">
        <v>6</v>
      </c>
      <c r="N872" s="49">
        <v>1</v>
      </c>
      <c r="O872" s="49">
        <v>2</v>
      </c>
      <c r="P872" s="50" t="s">
        <v>66</v>
      </c>
      <c r="Q872" s="51">
        <v>8173</v>
      </c>
    </row>
    <row r="873" spans="12:17">
      <c r="L873" s="36" t="str">
        <f t="shared" si="37"/>
        <v>P6S2A35</v>
      </c>
      <c r="M873" s="49">
        <v>6</v>
      </c>
      <c r="N873" s="49">
        <v>1</v>
      </c>
      <c r="O873" s="49">
        <v>2</v>
      </c>
      <c r="P873" s="50" t="s">
        <v>67</v>
      </c>
      <c r="Q873" s="51">
        <v>8543</v>
      </c>
    </row>
    <row r="874" spans="12:17">
      <c r="L874" s="36" t="str">
        <f t="shared" si="37"/>
        <v>P6S2A36</v>
      </c>
      <c r="M874" s="49">
        <v>6</v>
      </c>
      <c r="N874" s="49">
        <v>1</v>
      </c>
      <c r="O874" s="49">
        <v>2</v>
      </c>
      <c r="P874" s="50" t="s">
        <v>68</v>
      </c>
      <c r="Q874" s="51">
        <v>8543</v>
      </c>
    </row>
    <row r="875" spans="12:17">
      <c r="L875" s="36" t="str">
        <f t="shared" si="37"/>
        <v>P6S2A37</v>
      </c>
      <c r="M875" s="49">
        <v>6</v>
      </c>
      <c r="N875" s="49">
        <v>1</v>
      </c>
      <c r="O875" s="49">
        <v>2</v>
      </c>
      <c r="P875" s="50" t="s">
        <v>69</v>
      </c>
      <c r="Q875" s="51">
        <v>8543</v>
      </c>
    </row>
    <row r="876" spans="12:17">
      <c r="L876" s="36" t="str">
        <f t="shared" si="37"/>
        <v>P6S2A38</v>
      </c>
      <c r="M876" s="49">
        <v>6</v>
      </c>
      <c r="N876" s="49">
        <v>1</v>
      </c>
      <c r="O876" s="49">
        <v>2</v>
      </c>
      <c r="P876" s="50" t="s">
        <v>70</v>
      </c>
      <c r="Q876" s="51">
        <v>8543</v>
      </c>
    </row>
    <row r="877" spans="12:17">
      <c r="L877" s="36" t="str">
        <f t="shared" si="37"/>
        <v>P6S2A39</v>
      </c>
      <c r="M877" s="49">
        <v>6</v>
      </c>
      <c r="N877" s="49">
        <v>1</v>
      </c>
      <c r="O877" s="49">
        <v>2</v>
      </c>
      <c r="P877" s="50" t="s">
        <v>71</v>
      </c>
      <c r="Q877" s="51">
        <v>8543</v>
      </c>
    </row>
    <row r="878" spans="12:17">
      <c r="L878" s="36" t="str">
        <f t="shared" si="37"/>
        <v>P6S2A40</v>
      </c>
      <c r="M878" s="49">
        <v>6</v>
      </c>
      <c r="N878" s="49">
        <v>1</v>
      </c>
      <c r="O878" s="49">
        <v>2</v>
      </c>
      <c r="P878" s="50" t="s">
        <v>72</v>
      </c>
      <c r="Q878" s="51">
        <v>8839</v>
      </c>
    </row>
    <row r="879" spans="12:17">
      <c r="L879" s="36" t="str">
        <f t="shared" si="37"/>
        <v>P6S2A41</v>
      </c>
      <c r="M879" s="49">
        <v>6</v>
      </c>
      <c r="N879" s="49">
        <v>1</v>
      </c>
      <c r="O879" s="49">
        <v>2</v>
      </c>
      <c r="P879" s="50" t="s">
        <v>73</v>
      </c>
      <c r="Q879" s="51">
        <v>8839</v>
      </c>
    </row>
    <row r="880" spans="12:17">
      <c r="L880" s="36" t="str">
        <f t="shared" si="37"/>
        <v>P6S2A42</v>
      </c>
      <c r="M880" s="49">
        <v>6</v>
      </c>
      <c r="N880" s="49">
        <v>1</v>
      </c>
      <c r="O880" s="49">
        <v>2</v>
      </c>
      <c r="P880" s="50" t="s">
        <v>74</v>
      </c>
      <c r="Q880" s="51">
        <v>8839</v>
      </c>
    </row>
    <row r="881" spans="12:17">
      <c r="L881" s="36" t="str">
        <f t="shared" si="37"/>
        <v>P6S2A43</v>
      </c>
      <c r="M881" s="49">
        <v>6</v>
      </c>
      <c r="N881" s="49">
        <v>1</v>
      </c>
      <c r="O881" s="49">
        <v>2</v>
      </c>
      <c r="P881" s="50" t="s">
        <v>75</v>
      </c>
      <c r="Q881" s="51">
        <v>8839</v>
      </c>
    </row>
    <row r="882" spans="12:17">
      <c r="L882" s="36" t="str">
        <f t="shared" si="37"/>
        <v>P6S2A44</v>
      </c>
      <c r="M882" s="49">
        <v>6</v>
      </c>
      <c r="N882" s="49">
        <v>1</v>
      </c>
      <c r="O882" s="49">
        <v>2</v>
      </c>
      <c r="P882" s="50" t="s">
        <v>76</v>
      </c>
      <c r="Q882" s="51">
        <v>8839</v>
      </c>
    </row>
    <row r="883" spans="12:17">
      <c r="L883" s="36" t="str">
        <f t="shared" si="37"/>
        <v>P6S2A45</v>
      </c>
      <c r="M883" s="49">
        <v>6</v>
      </c>
      <c r="N883" s="49">
        <v>1</v>
      </c>
      <c r="O883" s="49">
        <v>2</v>
      </c>
      <c r="P883" s="50" t="s">
        <v>77</v>
      </c>
      <c r="Q883" s="51">
        <v>10518</v>
      </c>
    </row>
    <row r="884" spans="12:17">
      <c r="L884" s="36" t="str">
        <f t="shared" si="37"/>
        <v>P6S2A46</v>
      </c>
      <c r="M884" s="49">
        <v>6</v>
      </c>
      <c r="N884" s="49">
        <v>1</v>
      </c>
      <c r="O884" s="49">
        <v>2</v>
      </c>
      <c r="P884" s="50" t="s">
        <v>78</v>
      </c>
      <c r="Q884" s="51">
        <v>10518</v>
      </c>
    </row>
    <row r="885" spans="12:17">
      <c r="L885" s="36" t="str">
        <f t="shared" si="37"/>
        <v>P6S2A47</v>
      </c>
      <c r="M885" s="49">
        <v>6</v>
      </c>
      <c r="N885" s="49">
        <v>1</v>
      </c>
      <c r="O885" s="49">
        <v>2</v>
      </c>
      <c r="P885" s="50" t="s">
        <v>79</v>
      </c>
      <c r="Q885" s="51">
        <v>10518</v>
      </c>
    </row>
    <row r="886" spans="12:17">
      <c r="L886" s="36" t="str">
        <f t="shared" si="37"/>
        <v>P6S2A48</v>
      </c>
      <c r="M886" s="49">
        <v>6</v>
      </c>
      <c r="N886" s="49">
        <v>1</v>
      </c>
      <c r="O886" s="49">
        <v>2</v>
      </c>
      <c r="P886" s="50" t="s">
        <v>80</v>
      </c>
      <c r="Q886" s="51">
        <v>10518</v>
      </c>
    </row>
    <row r="887" spans="12:17">
      <c r="L887" s="36" t="str">
        <f t="shared" si="37"/>
        <v>P6S2A49</v>
      </c>
      <c r="M887" s="49">
        <v>6</v>
      </c>
      <c r="N887" s="49">
        <v>1</v>
      </c>
      <c r="O887" s="49">
        <v>2</v>
      </c>
      <c r="P887" s="50" t="s">
        <v>81</v>
      </c>
      <c r="Q887" s="51">
        <v>10518</v>
      </c>
    </row>
    <row r="888" spans="12:17">
      <c r="L888" s="36" t="str">
        <f t="shared" si="37"/>
        <v>P6S2A50</v>
      </c>
      <c r="M888" s="49">
        <v>6</v>
      </c>
      <c r="N888" s="49">
        <v>1</v>
      </c>
      <c r="O888" s="49">
        <v>2</v>
      </c>
      <c r="P888" s="50" t="s">
        <v>82</v>
      </c>
      <c r="Q888" s="51">
        <v>12009</v>
      </c>
    </row>
    <row r="889" spans="12:17">
      <c r="L889" s="36" t="str">
        <f t="shared" si="37"/>
        <v>P6S2A51</v>
      </c>
      <c r="M889" s="49">
        <v>6</v>
      </c>
      <c r="N889" s="49">
        <v>1</v>
      </c>
      <c r="O889" s="49">
        <v>2</v>
      </c>
      <c r="P889" s="50" t="s">
        <v>83</v>
      </c>
      <c r="Q889" s="51">
        <v>12009</v>
      </c>
    </row>
    <row r="890" spans="12:17">
      <c r="L890" s="36" t="str">
        <f t="shared" si="37"/>
        <v>P6S2A52</v>
      </c>
      <c r="M890" s="49">
        <v>6</v>
      </c>
      <c r="N890" s="49">
        <v>1</v>
      </c>
      <c r="O890" s="49">
        <v>2</v>
      </c>
      <c r="P890" s="50" t="s">
        <v>84</v>
      </c>
      <c r="Q890" s="51">
        <v>12009</v>
      </c>
    </row>
    <row r="891" spans="12:17">
      <c r="L891" s="36" t="str">
        <f t="shared" si="37"/>
        <v>P6S2A53</v>
      </c>
      <c r="M891" s="49">
        <v>6</v>
      </c>
      <c r="N891" s="49">
        <v>1</v>
      </c>
      <c r="O891" s="49">
        <v>2</v>
      </c>
      <c r="P891" s="50" t="s">
        <v>85</v>
      </c>
      <c r="Q891" s="51">
        <v>12009</v>
      </c>
    </row>
    <row r="892" spans="12:17">
      <c r="L892" s="36" t="str">
        <f t="shared" si="37"/>
        <v>P6S2A54</v>
      </c>
      <c r="M892" s="49">
        <v>6</v>
      </c>
      <c r="N892" s="49">
        <v>1</v>
      </c>
      <c r="O892" s="49">
        <v>2</v>
      </c>
      <c r="P892" s="50" t="s">
        <v>86</v>
      </c>
      <c r="Q892" s="51">
        <v>12009</v>
      </c>
    </row>
    <row r="893" spans="12:17">
      <c r="L893" s="36" t="str">
        <f t="shared" si="37"/>
        <v>P6S2A55</v>
      </c>
      <c r="M893" s="49">
        <v>6</v>
      </c>
      <c r="N893" s="49">
        <v>1</v>
      </c>
      <c r="O893" s="49">
        <v>2</v>
      </c>
      <c r="P893" s="50" t="s">
        <v>87</v>
      </c>
      <c r="Q893" s="51">
        <v>14018</v>
      </c>
    </row>
    <row r="894" spans="12:17">
      <c r="L894" s="36" t="str">
        <f t="shared" si="37"/>
        <v>P6S2A56</v>
      </c>
      <c r="M894" s="49">
        <v>6</v>
      </c>
      <c r="N894" s="49">
        <v>1</v>
      </c>
      <c r="O894" s="49">
        <v>2</v>
      </c>
      <c r="P894" s="50" t="s">
        <v>88</v>
      </c>
      <c r="Q894" s="51">
        <v>14018</v>
      </c>
    </row>
    <row r="895" spans="12:17">
      <c r="L895" s="36" t="str">
        <f t="shared" si="37"/>
        <v>P6S2A57</v>
      </c>
      <c r="M895" s="49">
        <v>6</v>
      </c>
      <c r="N895" s="49">
        <v>1</v>
      </c>
      <c r="O895" s="49">
        <v>2</v>
      </c>
      <c r="P895" s="50" t="s">
        <v>89</v>
      </c>
      <c r="Q895" s="51">
        <v>14018</v>
      </c>
    </row>
    <row r="896" spans="12:17">
      <c r="L896" s="36" t="str">
        <f t="shared" si="37"/>
        <v>P6S2A58</v>
      </c>
      <c r="M896" s="49">
        <v>6</v>
      </c>
      <c r="N896" s="49">
        <v>1</v>
      </c>
      <c r="O896" s="49">
        <v>2</v>
      </c>
      <c r="P896" s="50" t="s">
        <v>90</v>
      </c>
      <c r="Q896" s="51">
        <v>14018</v>
      </c>
    </row>
    <row r="897" spans="12:17">
      <c r="L897" s="36" t="str">
        <f t="shared" si="37"/>
        <v>P6S2A59</v>
      </c>
      <c r="M897" s="49">
        <v>6</v>
      </c>
      <c r="N897" s="49">
        <v>1</v>
      </c>
      <c r="O897" s="49">
        <v>2</v>
      </c>
      <c r="P897" s="50" t="s">
        <v>91</v>
      </c>
      <c r="Q897" s="51">
        <v>14018</v>
      </c>
    </row>
    <row r="898" spans="12:17">
      <c r="L898" s="36" t="str">
        <f t="shared" ref="L898:L913" si="38">"P"&amp;M898&amp;"S"&amp;O898&amp;"A"&amp;REPT("0",2-LEN(P898))&amp;P898</f>
        <v>P6S2A60</v>
      </c>
      <c r="M898" s="49">
        <v>6</v>
      </c>
      <c r="N898" s="49">
        <v>1</v>
      </c>
      <c r="O898" s="49">
        <v>2</v>
      </c>
      <c r="P898" s="50" t="s">
        <v>92</v>
      </c>
      <c r="Q898" s="51">
        <v>16946</v>
      </c>
    </row>
    <row r="899" spans="12:17">
      <c r="L899" s="36" t="str">
        <f t="shared" si="38"/>
        <v>P6S2A61</v>
      </c>
      <c r="M899" s="49">
        <v>6</v>
      </c>
      <c r="N899" s="49">
        <v>1</v>
      </c>
      <c r="O899" s="49">
        <v>2</v>
      </c>
      <c r="P899" s="50" t="s">
        <v>93</v>
      </c>
      <c r="Q899" s="51">
        <v>16946</v>
      </c>
    </row>
    <row r="900" spans="12:17">
      <c r="L900" s="36" t="str">
        <f t="shared" si="38"/>
        <v>P6S2A62</v>
      </c>
      <c r="M900" s="49">
        <v>6</v>
      </c>
      <c r="N900" s="49">
        <v>1</v>
      </c>
      <c r="O900" s="49">
        <v>2</v>
      </c>
      <c r="P900" s="50" t="s">
        <v>94</v>
      </c>
      <c r="Q900" s="51">
        <v>16946</v>
      </c>
    </row>
    <row r="901" spans="12:17">
      <c r="L901" s="36" t="str">
        <f t="shared" si="38"/>
        <v>P6S2A63</v>
      </c>
      <c r="M901" s="49">
        <v>6</v>
      </c>
      <c r="N901" s="49">
        <v>1</v>
      </c>
      <c r="O901" s="49">
        <v>2</v>
      </c>
      <c r="P901" s="50" t="s">
        <v>95</v>
      </c>
      <c r="Q901" s="51">
        <v>16946</v>
      </c>
    </row>
    <row r="902" spans="12:17">
      <c r="L902" s="36" t="str">
        <f t="shared" si="38"/>
        <v>P6S2A64</v>
      </c>
      <c r="M902" s="49">
        <v>6</v>
      </c>
      <c r="N902" s="49">
        <v>1</v>
      </c>
      <c r="O902" s="49">
        <v>2</v>
      </c>
      <c r="P902" s="50" t="s">
        <v>96</v>
      </c>
      <c r="Q902" s="51">
        <v>16946</v>
      </c>
    </row>
    <row r="903" spans="12:17">
      <c r="L903" s="36" t="str">
        <f t="shared" si="38"/>
        <v>P6S2A65</v>
      </c>
      <c r="M903" s="49">
        <v>6</v>
      </c>
      <c r="N903" s="49">
        <v>1</v>
      </c>
      <c r="O903" s="49">
        <v>2</v>
      </c>
      <c r="P903" s="50" t="s">
        <v>97</v>
      </c>
      <c r="Q903" s="51">
        <v>22421</v>
      </c>
    </row>
    <row r="904" spans="12:17">
      <c r="L904" s="36" t="str">
        <f t="shared" si="38"/>
        <v>P6S2A66</v>
      </c>
      <c r="M904" s="49">
        <v>6</v>
      </c>
      <c r="N904" s="49">
        <v>1</v>
      </c>
      <c r="O904" s="49">
        <v>2</v>
      </c>
      <c r="P904" s="50" t="s">
        <v>98</v>
      </c>
      <c r="Q904" s="51">
        <v>22421</v>
      </c>
    </row>
    <row r="905" spans="12:17">
      <c r="L905" s="36" t="str">
        <f t="shared" si="38"/>
        <v>P6S2A67</v>
      </c>
      <c r="M905" s="49">
        <v>6</v>
      </c>
      <c r="N905" s="49">
        <v>1</v>
      </c>
      <c r="O905" s="49">
        <v>2</v>
      </c>
      <c r="P905" s="50" t="s">
        <v>99</v>
      </c>
      <c r="Q905" s="51">
        <v>22421</v>
      </c>
    </row>
    <row r="906" spans="12:17">
      <c r="L906" s="36" t="str">
        <f t="shared" si="38"/>
        <v>P6S2A68</v>
      </c>
      <c r="M906" s="49">
        <v>6</v>
      </c>
      <c r="N906" s="49">
        <v>1</v>
      </c>
      <c r="O906" s="49">
        <v>2</v>
      </c>
      <c r="P906" s="50" t="s">
        <v>100</v>
      </c>
      <c r="Q906" s="51">
        <v>22421</v>
      </c>
    </row>
    <row r="907" spans="12:17">
      <c r="L907" s="36" t="str">
        <f t="shared" si="38"/>
        <v>P6S2A69</v>
      </c>
      <c r="M907" s="49">
        <v>6</v>
      </c>
      <c r="N907" s="49">
        <v>1</v>
      </c>
      <c r="O907" s="49">
        <v>2</v>
      </c>
      <c r="P907" s="50" t="s">
        <v>101</v>
      </c>
      <c r="Q907" s="51">
        <v>22421</v>
      </c>
    </row>
    <row r="908" spans="12:17">
      <c r="L908" s="36" t="str">
        <f t="shared" si="38"/>
        <v>P6S2A70</v>
      </c>
      <c r="M908" s="49">
        <v>6</v>
      </c>
      <c r="N908" s="49">
        <v>1</v>
      </c>
      <c r="O908" s="49">
        <v>2</v>
      </c>
      <c r="P908" s="50" t="s">
        <v>102</v>
      </c>
      <c r="Q908" s="51">
        <v>28856</v>
      </c>
    </row>
    <row r="909" spans="12:17">
      <c r="L909" s="36" t="str">
        <f t="shared" si="38"/>
        <v>P6S2A71</v>
      </c>
      <c r="M909" s="49">
        <v>6</v>
      </c>
      <c r="N909" s="49">
        <v>1</v>
      </c>
      <c r="O909" s="49">
        <v>2</v>
      </c>
      <c r="P909" s="50" t="s">
        <v>103</v>
      </c>
      <c r="Q909" s="51">
        <v>28856</v>
      </c>
    </row>
    <row r="910" spans="12:17">
      <c r="L910" s="36" t="str">
        <f t="shared" si="38"/>
        <v>P6S2A72</v>
      </c>
      <c r="M910" s="49">
        <v>6</v>
      </c>
      <c r="N910" s="49">
        <v>1</v>
      </c>
      <c r="O910" s="49">
        <v>2</v>
      </c>
      <c r="P910" s="50" t="s">
        <v>104</v>
      </c>
      <c r="Q910" s="51">
        <v>28856</v>
      </c>
    </row>
    <row r="911" spans="12:17">
      <c r="L911" s="36" t="str">
        <f t="shared" si="38"/>
        <v>P6S2A73</v>
      </c>
      <c r="M911" s="49">
        <v>6</v>
      </c>
      <c r="N911" s="49">
        <v>1</v>
      </c>
      <c r="O911" s="49">
        <v>2</v>
      </c>
      <c r="P911" s="50" t="s">
        <v>105</v>
      </c>
      <c r="Q911" s="51">
        <v>28856</v>
      </c>
    </row>
    <row r="912" spans="12:17">
      <c r="L912" s="36" t="str">
        <f t="shared" si="38"/>
        <v>P6S2A74</v>
      </c>
      <c r="M912" s="49">
        <v>6</v>
      </c>
      <c r="N912" s="49">
        <v>1</v>
      </c>
      <c r="O912" s="49">
        <v>2</v>
      </c>
      <c r="P912" s="50" t="s">
        <v>106</v>
      </c>
      <c r="Q912" s="51">
        <v>28856</v>
      </c>
    </row>
    <row r="913" spans="12:17">
      <c r="L913" s="36" t="str">
        <f t="shared" si="38"/>
        <v>P6S2A75</v>
      </c>
      <c r="M913" s="49">
        <v>6</v>
      </c>
      <c r="N913" s="49">
        <v>1</v>
      </c>
      <c r="O913" s="49">
        <v>2</v>
      </c>
      <c r="P913" s="50" t="s">
        <v>107</v>
      </c>
      <c r="Q913" s="51">
        <v>28856</v>
      </c>
    </row>
  </sheetData>
  <sheetProtection algorithmName="SHA-512" hashValue="y1GmNYVHERrrZuLmQrs0lIoqVKe4qRDZ1Qo9Zmm6hzW6Epy4+ziRI7Dr24KcM2flVTlNTcEjCzz4lYZP3Le9Hw==" saltValue="0MJUWVxVwZ+C+SsWbjZ81g==" spinCount="100000" sheet="1" selectLockedCells="1"/>
  <phoneticPr fontId="2"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D84FD-679D-4C70-AEC7-81A0276C4B19}">
  <sheetPr>
    <tabColor rgb="FFFF5757"/>
  </sheetPr>
  <dimension ref="A1:AA90"/>
  <sheetViews>
    <sheetView topLeftCell="AB1" zoomScale="90" zoomScaleNormal="90" workbookViewId="0">
      <selection activeCell="C5" sqref="C5:J5"/>
    </sheetView>
  </sheetViews>
  <sheetFormatPr defaultColWidth="11.453125" defaultRowHeight="12.5"/>
  <cols>
    <col min="1" max="27" width="11.453125" style="155" hidden="1" customWidth="1"/>
    <col min="28" max="28" width="11.453125" style="155" customWidth="1"/>
    <col min="29" max="16384" width="11.453125" style="155"/>
  </cols>
  <sheetData>
    <row r="1" spans="1:27" ht="13">
      <c r="A1" s="154"/>
      <c r="B1" s="280" t="s">
        <v>274</v>
      </c>
      <c r="C1" s="280"/>
      <c r="D1" s="280"/>
      <c r="E1" s="280"/>
      <c r="F1" s="280"/>
      <c r="G1" s="280"/>
      <c r="H1" s="280"/>
      <c r="I1" s="280"/>
      <c r="J1" s="280"/>
      <c r="K1" s="280"/>
      <c r="L1" s="280"/>
      <c r="M1" s="280"/>
      <c r="N1" s="281"/>
      <c r="O1" s="282" t="s">
        <v>275</v>
      </c>
      <c r="P1" s="283"/>
      <c r="Q1" s="283"/>
      <c r="R1" s="283"/>
      <c r="S1" s="283"/>
      <c r="T1" s="283"/>
      <c r="U1" s="283"/>
      <c r="V1" s="283"/>
      <c r="W1" s="283"/>
      <c r="X1" s="283"/>
      <c r="Y1" s="283"/>
      <c r="Z1" s="283"/>
      <c r="AA1" s="283"/>
    </row>
    <row r="2" spans="1:27">
      <c r="A2" s="149"/>
      <c r="B2" s="152" t="str">
        <f>商品代號</f>
        <v>AHIRLB1</v>
      </c>
      <c r="C2" s="152" t="str">
        <f>BNLTRN1商品代號</f>
        <v>BNLTRN1</v>
      </c>
      <c r="D2" s="152" t="str">
        <f>ADDNTR1商品代號</f>
        <v>ADDNTR1</v>
      </c>
      <c r="E2" s="152" t="str">
        <f>AMRNTR1商品代號</f>
        <v>AMRNTR1</v>
      </c>
      <c r="F2" s="152" t="str">
        <f>DPAA商品代號</f>
        <v>DPAA</v>
      </c>
      <c r="G2" s="152" t="str">
        <f>ML商品代號</f>
        <v>ML</v>
      </c>
      <c r="H2" s="152" t="str">
        <f>MT商品代號</f>
        <v>MT</v>
      </c>
      <c r="I2" s="152" t="str">
        <f>ACCNTR1商品代號</f>
        <v>ACCNTR1</v>
      </c>
      <c r="J2" s="152" t="str">
        <f>ACCNTR2商品代號</f>
        <v>ACCNTR2</v>
      </c>
      <c r="K2" s="152" t="str">
        <f>ACCNTR3商品代號</f>
        <v>ACCNTR3</v>
      </c>
      <c r="L2" s="152"/>
      <c r="M2" s="152"/>
      <c r="N2" s="152"/>
      <c r="O2" s="146" t="str">
        <f>商品代號</f>
        <v>AHIRLB1</v>
      </c>
      <c r="P2" s="146" t="str">
        <f>BNLTRN1商品代號</f>
        <v>BNLTRN1</v>
      </c>
      <c r="Q2" s="146" t="str">
        <f>ADDNTR1商品代號</f>
        <v>ADDNTR1</v>
      </c>
      <c r="R2" s="146" t="str">
        <f>AMRNTR1商品代號</f>
        <v>AMRNTR1</v>
      </c>
      <c r="S2" s="146" t="str">
        <f>DPAA商品代號</f>
        <v>DPAA</v>
      </c>
      <c r="T2" s="146" t="str">
        <f>ML商品代號</f>
        <v>ML</v>
      </c>
      <c r="U2" s="146" t="str">
        <f>MT商品代號</f>
        <v>MT</v>
      </c>
      <c r="V2" s="146" t="str">
        <f>ACCNTR1商品代號</f>
        <v>ACCNTR1</v>
      </c>
      <c r="W2" s="146" t="str">
        <f>ACCNTR2商品代號</f>
        <v>ACCNTR2</v>
      </c>
      <c r="X2" s="146" t="str">
        <f>ACCNTR3商品代號</f>
        <v>ACCNTR3</v>
      </c>
      <c r="Y2" s="146"/>
      <c r="Z2" s="146"/>
      <c r="AA2" s="153"/>
    </row>
    <row r="3" spans="1:27" ht="13">
      <c r="A3" s="147" t="s">
        <v>276</v>
      </c>
      <c r="B3" s="148">
        <f ca="1">IF(總檢核,VLOOKUP(B2,OP!$E$44:$H$52,4,FALSE),0)</f>
        <v>10</v>
      </c>
      <c r="C3" s="148">
        <f>IF(BNLTRN1檢核,VLOOKUP(C2,OP!$E$44:$H$52,4,FALSE),0)</f>
        <v>0</v>
      </c>
      <c r="D3" s="148">
        <f>IF(ADDNTR1檢核,VLOOKUP(D2,OP!$E$44:$H$52,4,FALSE),0)</f>
        <v>0</v>
      </c>
      <c r="E3" s="148">
        <f>IF(AMRNTR1檢核,VLOOKUP(E2,OP!$E$44:$H$52,4,FALSE),0)</f>
        <v>0</v>
      </c>
      <c r="F3" s="148">
        <f>IF(DPAA檢核,VLOOKUP(F2,OP!$E$44:$H$52,4,FALSE),0)</f>
        <v>0</v>
      </c>
      <c r="G3" s="148">
        <f>IF(ML檢核,VLOOKUP(G2,OP!$E$44:$H$52,4,FALSE),0)</f>
        <v>0</v>
      </c>
      <c r="H3" s="148">
        <f>IF(MT檢核,VLOOKUP(H2,OP!$E$44:$H$52,4,FALSE),0)</f>
        <v>0</v>
      </c>
      <c r="I3" s="148">
        <f>IF(ACCNTR1檢核,VLOOKUP(I2,OP!$E$44:$H$52,4,FALSE),0)</f>
        <v>0</v>
      </c>
      <c r="J3" s="148">
        <f>IF(ACCNTR2檢核,VLOOKUP(J2,OP!$E$44:$H$52,4,FALSE),0)</f>
        <v>0</v>
      </c>
      <c r="K3" s="148">
        <f>IF(ACCNTR3檢核,VLOOKUP(K2,OP!$E$44:$H$53,4,FALSE),0)</f>
        <v>0</v>
      </c>
      <c r="L3" s="148"/>
      <c r="M3" s="148"/>
      <c r="N3" s="148"/>
      <c r="O3" s="148">
        <f ca="1">IF(總檢核,VLOOKUP(O2,OP!$E$44:$H$52,4,FALSE),0)</f>
        <v>10</v>
      </c>
      <c r="P3" s="148">
        <f>IF(BNLTRN1檢核,VLOOKUP(P2,OP!$E$44:$H$52,4,FALSE),0)</f>
        <v>0</v>
      </c>
      <c r="Q3" s="148">
        <f>IF(ADDNTR1檢核,VLOOKUP(Q2,OP!$E$44:$H$52,4,FALSE),0)</f>
        <v>0</v>
      </c>
      <c r="R3" s="148">
        <f>IF(AMRNTR1檢核,VLOOKUP(R2,OP!$E$44:$H$52,4,FALSE),0)</f>
        <v>0</v>
      </c>
      <c r="S3" s="148">
        <f>IF(DPAA檢核,VLOOKUP(S2,OP!$E$44:$H$52,4,FALSE),0)</f>
        <v>0</v>
      </c>
      <c r="T3" s="148">
        <f>IF(ML檢核,VLOOKUP(T2,OP!$E$44:$H$52,4,FALSE),0)</f>
        <v>0</v>
      </c>
      <c r="U3" s="148">
        <f>IF(MT檢核,VLOOKUP(U2,OP!$E$44:$H$52,4,FALSE),0)</f>
        <v>0</v>
      </c>
      <c r="V3" s="148">
        <f>IF(ACCNTR1檢核,VLOOKUP(V2,OP!$E$44:$H$52,4,FALSE),0)</f>
        <v>0</v>
      </c>
      <c r="W3" s="148">
        <f>IF(ACCNTR2檢核,VLOOKUP(W2,OP!$E$44:$H$52,4,FALSE),0)</f>
        <v>0</v>
      </c>
      <c r="X3" s="148">
        <f>IF(ACCNTR3檢核,VLOOKUP(X2,OP!$E$44:$H$53,4,FALSE),0)</f>
        <v>0</v>
      </c>
      <c r="Y3" s="148"/>
      <c r="Z3" s="148"/>
      <c r="AA3" s="148"/>
    </row>
    <row r="4" spans="1:27">
      <c r="A4" s="149">
        <f>IF(AND(分齡表最小顯示年齡&gt;=0,分齡表最小顯示年齡&lt;16),分齡表最小顯示年齡,"")</f>
        <v>0</v>
      </c>
      <c r="B4" s="150">
        <f ca="1">IF(OR(A4="",$B$3=0),0,
IF(AND(照護有術顯示判斷=2,'試算表(16歲-65歲)'!A4&gt;=20,'試算表(16歲-65歲)'!A4&lt;=29),0,
VLOOKUP("P"&amp;REPT("0",2-LEN(商品年期))&amp;商品年期&amp;"S"&amp;"1"&amp;"A"&amp;REPT("0",2-LEN(A4))&amp;A4,INDIRECT(主約費率表),6,FALSE)*$B$3))</f>
        <v>14250</v>
      </c>
      <c r="C4" s="150">
        <f t="shared" ref="C4:C67" si="0">IF(OR(A4="",$C$3=0),0,IF(ISERROR($C$3),0,ROUND($C$3*VLOOKUP("P"&amp;REPT("0",2-LEN(BNLTRN1繳費年期))&amp;BNLTRN1繳費年期&amp;"S"&amp;"1"&amp;"A"&amp;REPT("0",2-LEN(A4))&amp;A4,BNLTRN1_NP,6,FALSE),0)))</f>
        <v>0</v>
      </c>
      <c r="D4" s="150">
        <f t="shared" ref="D4:D67" si="1">IF(OR(A4="",$D$3=0),0,IF(ISERROR($D$3),0,ROUND($D$3*VLOOKUP(""&amp;A4,ADDNTR1_NP,2,FALSE),0)))</f>
        <v>0</v>
      </c>
      <c r="E4" s="150">
        <f t="shared" ref="E4:E67" si="2">IF(OR(A4="",$E$3=0),0,IF(ISERROR($E$3),0,ROUND(VLOOKUP("P"&amp;AMRNTR1計劃&amp;"S"&amp;"1"&amp;"A"&amp;REPT("0",2-LEN(A4))&amp;A4,AMRNTR1_NP,6,FALSE),0)))</f>
        <v>0</v>
      </c>
      <c r="F4" s="150">
        <f t="shared" ref="F4:F67" si="3">IF(OR(A4="",$F$3=0),0,IF(ISERROR($F$3),0,ROUND($F$3*VLOOKUP(IF(A4&lt;15,1,IF(A4=15,2,3)),DPAA_NP,2+職業等級,FALSE),0)))</f>
        <v>0</v>
      </c>
      <c r="G4" s="151">
        <f t="shared" ref="G4:G67" si="4">IF(OR(A4="",$G$3=0),0,IF(ISERROR($G$3),0,ROUND(VLOOKUP("ML-"&amp;ML計劃,ML_NP,1+職業等級,FALSE),0)))</f>
        <v>0</v>
      </c>
      <c r="H4" s="151" cm="1">
        <f t="array" ref="H4">IF(OR(A4="",$H$3=0),0,IF(ISERROR($H$3),0,ROUND(INDEX(MT_NP,1,職業等級)+(MAX(0,MT保額-3)*INDEX(MT_NP,2,職業等級)),0)))</f>
        <v>0</v>
      </c>
      <c r="I4" s="150">
        <f>IF(OR(A4="",$I$3=0),0,IF(ISERROR($I$3),0,ROUND($I$3*IF(ISERROR(VLOOKUP("P10"&amp;"S"&amp;"1"&amp;"A"&amp;REPT("0",2-LEN(A4))&amp;A4,ACCNTR1_NP,5,FALSE)),0,VLOOKUP("P10"&amp;"S"&amp;"1"&amp;"A"&amp;REPT("0",2-LEN(A4))&amp;A4,ACCNTR1_NP,5,FALSE)),0)))</f>
        <v>0</v>
      </c>
      <c r="J4" s="150">
        <f t="shared" ref="J4:J67" si="5">IF(OR(A4="",$J$3=0),0,IF(ISERROR($J$3),0,ROUND($J$3*VLOOKUP("P01"&amp;"S"&amp;"1"&amp;"A"&amp;REPT("0",2-LEN(A4))&amp;A4,ACCNTR2_NP,5,FALSE),0)))</f>
        <v>0</v>
      </c>
      <c r="K4" s="150">
        <f t="shared" ref="K4:K35" si="6">IF(OR(A4="",$K$3=0),0,IF(ISERROR($K$3),0,ROUND($K$3*VLOOKUP("P01"&amp;"S"&amp;"1"&amp;"A"&amp;REPT("0",2-LEN(A4))&amp;A4,ACCNTR3_NP,5,FALSE),0)))</f>
        <v>0</v>
      </c>
      <c r="L4" s="150"/>
      <c r="M4" s="150"/>
      <c r="N4" s="152"/>
      <c r="O4" s="146">
        <f ca="1">IF(OR(A4="",$B$3=0),0,
IF(AND(照護有術顯示判斷=2,'試算表(16歲-65歲)'!A4&gt;=20,'試算表(16歲-65歲)'!A4&lt;=29),0,
VLOOKUP("P"&amp;REPT("0",2-LEN(商品年期))&amp;商品年期&amp;"S"&amp;"2"&amp;"A"&amp;REPT("0",2-LEN(A4))&amp;A4,INDIRECT(主約費率表),6,FALSE)*$O$3))</f>
        <v>14210</v>
      </c>
      <c r="P4" s="146">
        <f t="shared" ref="P4:P67" si="7">IF(OR(A4="",$P$3=0),0,IF(ISERROR($P$3),0,ROUND($P$3*VLOOKUP("P"&amp;REPT("0",2-LEN(BNLTRN1繳費年期))&amp;BNLTRN1繳費年期&amp;"S"&amp;"2"&amp;"A"&amp;REPT("0",2-LEN(A4))&amp;A4,BNLTRN1_NP,6,FALSE),0)))</f>
        <v>0</v>
      </c>
      <c r="Q4" s="146">
        <f t="shared" ref="Q4:Q67" si="8">IF(OR(A4="",$Q$3=0),0,IF(ISERROR($Q$3),0,ROUND($Q$3*VLOOKUP(""&amp;A4,ADDNTR1_NP,3,FALSE),0)))</f>
        <v>0</v>
      </c>
      <c r="R4" s="146">
        <f t="shared" ref="R4:R67" si="9">IF(OR(A4="",$R$3=0),0,IF(ISERROR($R$3),0,ROUND(VLOOKUP("P"&amp;AMRNTR1計劃&amp;"S"&amp;"2"&amp;"A"&amp;REPT("0",2-LEN(A4))&amp;A4,AMRNTR1_NP,6,FALSE),0)))</f>
        <v>0</v>
      </c>
      <c r="S4" s="146">
        <f t="shared" ref="S4:S67" si="10">IF(OR(A4="",$S$3=0),0,IF(ISERROR($S$3),0,ROUND($S$3*VLOOKUP(IF(A4&lt;15,1,IF(A4=15,2,3)),DPAA_NP,2+職業等級,FALSE),0)))</f>
        <v>0</v>
      </c>
      <c r="T4" s="146">
        <f t="shared" ref="T4:T67" si="11">IF(OR(A4="",$T$3=0),0,IF(ISERROR($T$3),0,ROUND(VLOOKUP("ML-"&amp;ML計劃,ML_NP,1+職業等級,FALSE),0)))</f>
        <v>0</v>
      </c>
      <c r="U4" s="146" cm="1">
        <f t="array" ref="U4">IF(OR(A4="",$U$3=0),0,IF(ISERROR($U$3),0,ROUND(INDEX(MT_NP,1,職業等級)+(MAX(0,MT保額-3)*INDEX(MT_NP,2,職業等級)),0)))</f>
        <v>0</v>
      </c>
      <c r="V4" s="146">
        <f t="shared" ref="V4:V67" si="12">IF(OR(A4="",$V$3=0),0,IF(ISERROR($V$3),0,ROUND($V$3*IF(ISERROR(VLOOKUP("P10"&amp;"S"&amp;"2"&amp;"A"&amp;REPT("0",2-LEN(A4))&amp;A4,ACCNTR1_NP,5,FALSE)),0,VLOOKUP("P10"&amp;"S"&amp;"2"&amp;"A"&amp;REPT("0",2-LEN(A4))&amp;A4,ACCNTR1_NP,5,FALSE)),0)))</f>
        <v>0</v>
      </c>
      <c r="W4" s="146">
        <f t="shared" ref="W4:W67" si="13">IF(OR(A4="",$W$3=0),0,IF(ISERROR($W$3),0,ROUND($W$3*VLOOKUP("P01"&amp;"S"&amp;"2"&amp;"A"&amp;REPT("0",2-LEN(A4))&amp;A4,ACCNTR2_NP,5,FALSE),0)))</f>
        <v>0</v>
      </c>
      <c r="X4" s="146">
        <f t="shared" ref="X4:X35" si="14">IF(OR(A4="",$X$3=0),0,IF(ISERROR($X$3),0,ROUND($X$3*VLOOKUP("P01"&amp;"S"&amp;"2"&amp;"A"&amp;REPT("0",2-LEN(A4))&amp;A4,ACCNTR3_NP,5,FALSE),0)))</f>
        <v>0</v>
      </c>
      <c r="Y4" s="146"/>
      <c r="Z4" s="146"/>
      <c r="AA4" s="153"/>
    </row>
    <row r="5" spans="1:27">
      <c r="A5" s="149">
        <f>IF(A4="","",IF(A4+1&gt;15,"",A4+1))</f>
        <v>1</v>
      </c>
      <c r="B5" s="150">
        <f ca="1">IF(OR(A5="",$B$3=0),0,
IF(AND(照護有術顯示判斷=2,'試算表(16歲-65歲)'!A5&gt;=20,'試算表(16歲-65歲)'!A5&lt;=29),0,
VLOOKUP("P"&amp;REPT("0",2-LEN(商品年期))&amp;商品年期&amp;"S"&amp;"1"&amp;"A"&amp;REPT("0",2-LEN(A5))&amp;A5,INDIRECT(主約費率表),6,FALSE)*$B$3))</f>
        <v>14250</v>
      </c>
      <c r="C5" s="150">
        <f t="shared" si="0"/>
        <v>0</v>
      </c>
      <c r="D5" s="150">
        <f t="shared" si="1"/>
        <v>0</v>
      </c>
      <c r="E5" s="150">
        <f t="shared" si="2"/>
        <v>0</v>
      </c>
      <c r="F5" s="150">
        <f t="shared" si="3"/>
        <v>0</v>
      </c>
      <c r="G5" s="151">
        <f t="shared" si="4"/>
        <v>0</v>
      </c>
      <c r="H5" s="151" cm="1">
        <f t="array" ref="H5">IF(OR(A5="",$H$3=0),0,IF(ISERROR($H$3),0,ROUND(INDEX(MT_NP,1,職業等級)+(MAX(0,MT保額-3)*INDEX(MT_NP,2,職業等級)),0)))</f>
        <v>0</v>
      </c>
      <c r="I5" s="150">
        <f t="shared" ref="I5:I67" si="15">IF(OR(A5="",$I$3=0),0,IF(ISERROR($I$3),0,ROUND($I$3*IF(ISERROR(VLOOKUP("P10"&amp;"S"&amp;"1"&amp;"A"&amp;REPT("0",2-LEN(A5))&amp;A5,ACCNTR1_NP,5,FALSE)),0,VLOOKUP("P10"&amp;"S"&amp;"1"&amp;"A"&amp;REPT("0",2-LEN(A5))&amp;A5,ACCNTR1_NP,5,FALSE)),0)))</f>
        <v>0</v>
      </c>
      <c r="J5" s="150">
        <f t="shared" si="5"/>
        <v>0</v>
      </c>
      <c r="K5" s="150">
        <f t="shared" si="6"/>
        <v>0</v>
      </c>
      <c r="L5" s="150"/>
      <c r="M5" s="150"/>
      <c r="N5" s="152"/>
      <c r="O5" s="146">
        <f ca="1">IF(OR(A5="",$B$3=0),0,
IF(AND(照護有術顯示判斷=2,'試算表(16歲-65歲)'!A5&gt;=20,'試算表(16歲-65歲)'!A5&lt;=29),0,
VLOOKUP("P"&amp;REPT("0",2-LEN(商品年期))&amp;商品年期&amp;"S"&amp;"2"&amp;"A"&amp;REPT("0",2-LEN(A5))&amp;A5,INDIRECT(主約費率表),6,FALSE)*$O$3))</f>
        <v>14210</v>
      </c>
      <c r="P5" s="146">
        <f t="shared" si="7"/>
        <v>0</v>
      </c>
      <c r="Q5" s="146">
        <f t="shared" si="8"/>
        <v>0</v>
      </c>
      <c r="R5" s="146">
        <f t="shared" si="9"/>
        <v>0</v>
      </c>
      <c r="S5" s="146">
        <f t="shared" si="10"/>
        <v>0</v>
      </c>
      <c r="T5" s="146">
        <f t="shared" si="11"/>
        <v>0</v>
      </c>
      <c r="U5" s="146" cm="1">
        <f t="array" ref="U5">IF(OR(A5="",$U$3=0),0,IF(ISERROR($U$3),0,ROUND(INDEX(MT_NP,1,職業等級)+(MAX(0,MT保額-3)*INDEX(MT_NP,2,職業等級)),0)))</f>
        <v>0</v>
      </c>
      <c r="V5" s="146">
        <f t="shared" si="12"/>
        <v>0</v>
      </c>
      <c r="W5" s="146">
        <f t="shared" si="13"/>
        <v>0</v>
      </c>
      <c r="X5" s="146">
        <f t="shared" si="14"/>
        <v>0</v>
      </c>
      <c r="Y5" s="146"/>
      <c r="Z5" s="146"/>
      <c r="AA5" s="153"/>
    </row>
    <row r="6" spans="1:27">
      <c r="A6" s="149">
        <f t="shared" ref="A6:A69" si="16">IF(A5="","",IF(A5+1&gt;15,"",A5+1))</f>
        <v>2</v>
      </c>
      <c r="B6" s="150">
        <f ca="1">IF(OR(A6="",$B$3=0),0,
IF(AND(照護有術顯示判斷=2,'試算表(16歲-65歲)'!A6&gt;=20,'試算表(16歲-65歲)'!A6&lt;=29),0,
VLOOKUP("P"&amp;REPT("0",2-LEN(商品年期))&amp;商品年期&amp;"S"&amp;"1"&amp;"A"&amp;REPT("0",2-LEN(A6))&amp;A6,INDIRECT(主約費率表),6,FALSE)*$B$3))</f>
        <v>14250</v>
      </c>
      <c r="C6" s="150">
        <f t="shared" si="0"/>
        <v>0</v>
      </c>
      <c r="D6" s="150">
        <f t="shared" si="1"/>
        <v>0</v>
      </c>
      <c r="E6" s="150">
        <f t="shared" si="2"/>
        <v>0</v>
      </c>
      <c r="F6" s="150">
        <f t="shared" si="3"/>
        <v>0</v>
      </c>
      <c r="G6" s="151">
        <f t="shared" si="4"/>
        <v>0</v>
      </c>
      <c r="H6" s="151" cm="1">
        <f t="array" ref="H6">IF(OR(A6="",$H$3=0),0,IF(ISERROR($H$3),0,ROUND(INDEX(MT_NP,1,職業等級)+(MAX(0,MT保額-3)*INDEX(MT_NP,2,職業等級)),0)))</f>
        <v>0</v>
      </c>
      <c r="I6" s="150">
        <f t="shared" si="15"/>
        <v>0</v>
      </c>
      <c r="J6" s="150">
        <f t="shared" si="5"/>
        <v>0</v>
      </c>
      <c r="K6" s="150">
        <f t="shared" si="6"/>
        <v>0</v>
      </c>
      <c r="L6" s="150"/>
      <c r="M6" s="150"/>
      <c r="N6" s="152"/>
      <c r="O6" s="146">
        <f ca="1">IF(OR(A6="",$B$3=0),0,
IF(AND(照護有術顯示判斷=2,'試算表(16歲-65歲)'!A6&gt;=20,'試算表(16歲-65歲)'!A6&lt;=29),0,
VLOOKUP("P"&amp;REPT("0",2-LEN(商品年期))&amp;商品年期&amp;"S"&amp;"2"&amp;"A"&amp;REPT("0",2-LEN(A6))&amp;A6,INDIRECT(主約費率表),6,FALSE)*$O$3))</f>
        <v>14210</v>
      </c>
      <c r="P6" s="146">
        <f t="shared" si="7"/>
        <v>0</v>
      </c>
      <c r="Q6" s="146">
        <f t="shared" si="8"/>
        <v>0</v>
      </c>
      <c r="R6" s="146">
        <f t="shared" si="9"/>
        <v>0</v>
      </c>
      <c r="S6" s="146">
        <f t="shared" si="10"/>
        <v>0</v>
      </c>
      <c r="T6" s="146">
        <f t="shared" si="11"/>
        <v>0</v>
      </c>
      <c r="U6" s="146" cm="1">
        <f t="array" ref="U6">IF(OR(A6="",$U$3=0),0,IF(ISERROR($U$3),0,ROUND(INDEX(MT_NP,1,職業等級)+(MAX(0,MT保額-3)*INDEX(MT_NP,2,職業等級)),0)))</f>
        <v>0</v>
      </c>
      <c r="V6" s="146">
        <f t="shared" si="12"/>
        <v>0</v>
      </c>
      <c r="W6" s="146">
        <f t="shared" si="13"/>
        <v>0</v>
      </c>
      <c r="X6" s="146">
        <f t="shared" si="14"/>
        <v>0</v>
      </c>
      <c r="Y6" s="146"/>
      <c r="Z6" s="146"/>
      <c r="AA6" s="153"/>
    </row>
    <row r="7" spans="1:27">
      <c r="A7" s="149">
        <f t="shared" si="16"/>
        <v>3</v>
      </c>
      <c r="B7" s="150">
        <f ca="1">IF(OR(A7="",$B$3=0),0,
IF(AND(照護有術顯示判斷=2,'試算表(16歲-65歲)'!A7&gt;=20,'試算表(16歲-65歲)'!A7&lt;=29),0,
VLOOKUP("P"&amp;REPT("0",2-LEN(商品年期))&amp;商品年期&amp;"S"&amp;"1"&amp;"A"&amp;REPT("0",2-LEN(A7))&amp;A7,INDIRECT(主約費率表),6,FALSE)*$B$3))</f>
        <v>14250</v>
      </c>
      <c r="C7" s="150">
        <f t="shared" si="0"/>
        <v>0</v>
      </c>
      <c r="D7" s="150">
        <f t="shared" si="1"/>
        <v>0</v>
      </c>
      <c r="E7" s="150">
        <f t="shared" si="2"/>
        <v>0</v>
      </c>
      <c r="F7" s="150">
        <f t="shared" si="3"/>
        <v>0</v>
      </c>
      <c r="G7" s="151">
        <f t="shared" si="4"/>
        <v>0</v>
      </c>
      <c r="H7" s="151" cm="1">
        <f t="array" ref="H7">IF(OR(A7="",$H$3=0),0,IF(ISERROR($H$3),0,ROUND(INDEX(MT_NP,1,職業等級)+(MAX(0,MT保額-3)*INDEX(MT_NP,2,職業等級)),0)))</f>
        <v>0</v>
      </c>
      <c r="I7" s="150">
        <f t="shared" si="15"/>
        <v>0</v>
      </c>
      <c r="J7" s="150">
        <f t="shared" si="5"/>
        <v>0</v>
      </c>
      <c r="K7" s="150">
        <f t="shared" si="6"/>
        <v>0</v>
      </c>
      <c r="L7" s="150"/>
      <c r="M7" s="150"/>
      <c r="N7" s="152"/>
      <c r="O7" s="146">
        <f ca="1">IF(OR(A7="",$B$3=0),0,
IF(AND(照護有術顯示判斷=2,'試算表(16歲-65歲)'!A7&gt;=20,'試算表(16歲-65歲)'!A7&lt;=29),0,
VLOOKUP("P"&amp;REPT("0",2-LEN(商品年期))&amp;商品年期&amp;"S"&amp;"2"&amp;"A"&amp;REPT("0",2-LEN(A7))&amp;A7,INDIRECT(主約費率表),6,FALSE)*$O$3))</f>
        <v>14210</v>
      </c>
      <c r="P7" s="146">
        <f t="shared" si="7"/>
        <v>0</v>
      </c>
      <c r="Q7" s="146">
        <f t="shared" si="8"/>
        <v>0</v>
      </c>
      <c r="R7" s="146">
        <f t="shared" si="9"/>
        <v>0</v>
      </c>
      <c r="S7" s="146">
        <f t="shared" si="10"/>
        <v>0</v>
      </c>
      <c r="T7" s="146">
        <f t="shared" si="11"/>
        <v>0</v>
      </c>
      <c r="U7" s="146" cm="1">
        <f t="array" ref="U7">IF(OR(A7="",$U$3=0),0,IF(ISERROR($U$3),0,ROUND(INDEX(MT_NP,1,職業等級)+(MAX(0,MT保額-3)*INDEX(MT_NP,2,職業等級)),0)))</f>
        <v>0</v>
      </c>
      <c r="V7" s="146">
        <f t="shared" si="12"/>
        <v>0</v>
      </c>
      <c r="W7" s="146">
        <f t="shared" si="13"/>
        <v>0</v>
      </c>
      <c r="X7" s="146">
        <f t="shared" si="14"/>
        <v>0</v>
      </c>
      <c r="Y7" s="146"/>
      <c r="Z7" s="146"/>
      <c r="AA7" s="153"/>
    </row>
    <row r="8" spans="1:27">
      <c r="A8" s="149">
        <f t="shared" si="16"/>
        <v>4</v>
      </c>
      <c r="B8" s="150">
        <f ca="1">IF(OR(A8="",$B$3=0),0,
IF(AND(照護有術顯示判斷=2,'試算表(16歲-65歲)'!A8&gt;=20,'試算表(16歲-65歲)'!A8&lt;=29),0,
VLOOKUP("P"&amp;REPT("0",2-LEN(商品年期))&amp;商品年期&amp;"S"&amp;"1"&amp;"A"&amp;REPT("0",2-LEN(A8))&amp;A8,INDIRECT(主約費率表),6,FALSE)*$B$3))</f>
        <v>14250</v>
      </c>
      <c r="C8" s="150">
        <f t="shared" si="0"/>
        <v>0</v>
      </c>
      <c r="D8" s="150">
        <f t="shared" si="1"/>
        <v>0</v>
      </c>
      <c r="E8" s="150">
        <f t="shared" si="2"/>
        <v>0</v>
      </c>
      <c r="F8" s="150">
        <f t="shared" si="3"/>
        <v>0</v>
      </c>
      <c r="G8" s="151">
        <f t="shared" si="4"/>
        <v>0</v>
      </c>
      <c r="H8" s="151" cm="1">
        <f t="array" ref="H8">IF(OR(A8="",$H$3=0),0,IF(ISERROR($H$3),0,ROUND(INDEX(MT_NP,1,職業等級)+(MAX(0,MT保額-3)*INDEX(MT_NP,2,職業等級)),0)))</f>
        <v>0</v>
      </c>
      <c r="I8" s="150">
        <f t="shared" si="15"/>
        <v>0</v>
      </c>
      <c r="J8" s="150">
        <f t="shared" si="5"/>
        <v>0</v>
      </c>
      <c r="K8" s="150">
        <f t="shared" si="6"/>
        <v>0</v>
      </c>
      <c r="L8" s="150"/>
      <c r="M8" s="150"/>
      <c r="N8" s="152"/>
      <c r="O8" s="146">
        <f ca="1">IF(OR(A8="",$B$3=0),0,
IF(AND(照護有術顯示判斷=2,'試算表(16歲-65歲)'!A8&gt;=20,'試算表(16歲-65歲)'!A8&lt;=29),0,
VLOOKUP("P"&amp;REPT("0",2-LEN(商品年期))&amp;商品年期&amp;"S"&amp;"2"&amp;"A"&amp;REPT("0",2-LEN(A8))&amp;A8,INDIRECT(主約費率表),6,FALSE)*$O$3))</f>
        <v>14210</v>
      </c>
      <c r="P8" s="146">
        <f t="shared" si="7"/>
        <v>0</v>
      </c>
      <c r="Q8" s="146">
        <f t="shared" si="8"/>
        <v>0</v>
      </c>
      <c r="R8" s="146">
        <f t="shared" si="9"/>
        <v>0</v>
      </c>
      <c r="S8" s="146">
        <f t="shared" si="10"/>
        <v>0</v>
      </c>
      <c r="T8" s="146">
        <f t="shared" si="11"/>
        <v>0</v>
      </c>
      <c r="U8" s="146" cm="1">
        <f t="array" ref="U8">IF(OR(A8="",$U$3=0),0,IF(ISERROR($U$3),0,ROUND(INDEX(MT_NP,1,職業等級)+(MAX(0,MT保額-3)*INDEX(MT_NP,2,職業等級)),0)))</f>
        <v>0</v>
      </c>
      <c r="V8" s="146">
        <f t="shared" si="12"/>
        <v>0</v>
      </c>
      <c r="W8" s="146">
        <f t="shared" si="13"/>
        <v>0</v>
      </c>
      <c r="X8" s="146">
        <f t="shared" si="14"/>
        <v>0</v>
      </c>
      <c r="Y8" s="146"/>
      <c r="Z8" s="146"/>
      <c r="AA8" s="153"/>
    </row>
    <row r="9" spans="1:27">
      <c r="A9" s="149">
        <f t="shared" si="16"/>
        <v>5</v>
      </c>
      <c r="B9" s="150">
        <f ca="1">IF(OR(A9="",$B$3=0),0,
IF(AND(照護有術顯示判斷=2,'試算表(16歲-65歲)'!A9&gt;=20,'試算表(16歲-65歲)'!A9&lt;=29),0,
VLOOKUP("P"&amp;REPT("0",2-LEN(商品年期))&amp;商品年期&amp;"S"&amp;"1"&amp;"A"&amp;REPT("0",2-LEN(A9))&amp;A9,INDIRECT(主約費率表),6,FALSE)*$B$3))</f>
        <v>14250</v>
      </c>
      <c r="C9" s="150">
        <f t="shared" si="0"/>
        <v>0</v>
      </c>
      <c r="D9" s="150">
        <f t="shared" si="1"/>
        <v>0</v>
      </c>
      <c r="E9" s="150">
        <f t="shared" si="2"/>
        <v>0</v>
      </c>
      <c r="F9" s="150">
        <f t="shared" si="3"/>
        <v>0</v>
      </c>
      <c r="G9" s="151">
        <f t="shared" si="4"/>
        <v>0</v>
      </c>
      <c r="H9" s="151" cm="1">
        <f t="array" ref="H9">IF(OR(A9="",$H$3=0),0,IF(ISERROR($H$3),0,ROUND(INDEX(MT_NP,1,職業等級)+(MAX(0,MT保額-3)*INDEX(MT_NP,2,職業等級)),0)))</f>
        <v>0</v>
      </c>
      <c r="I9" s="150">
        <f t="shared" si="15"/>
        <v>0</v>
      </c>
      <c r="J9" s="150">
        <f t="shared" si="5"/>
        <v>0</v>
      </c>
      <c r="K9" s="150">
        <f t="shared" si="6"/>
        <v>0</v>
      </c>
      <c r="L9" s="150"/>
      <c r="M9" s="150"/>
      <c r="N9" s="152"/>
      <c r="O9" s="146">
        <f ca="1">IF(OR(A9="",$B$3=0),0,
IF(AND(照護有術顯示判斷=2,'試算表(16歲-65歲)'!A9&gt;=20,'試算表(16歲-65歲)'!A9&lt;=29),0,
VLOOKUP("P"&amp;REPT("0",2-LEN(商品年期))&amp;商品年期&amp;"S"&amp;"2"&amp;"A"&amp;REPT("0",2-LEN(A9))&amp;A9,INDIRECT(主約費率表),6,FALSE)*$O$3))</f>
        <v>14210</v>
      </c>
      <c r="P9" s="146">
        <f t="shared" si="7"/>
        <v>0</v>
      </c>
      <c r="Q9" s="146">
        <f t="shared" si="8"/>
        <v>0</v>
      </c>
      <c r="R9" s="146">
        <f t="shared" si="9"/>
        <v>0</v>
      </c>
      <c r="S9" s="146">
        <f t="shared" si="10"/>
        <v>0</v>
      </c>
      <c r="T9" s="146">
        <f t="shared" si="11"/>
        <v>0</v>
      </c>
      <c r="U9" s="146" cm="1">
        <f t="array" ref="U9">IF(OR(A9="",$U$3=0),0,IF(ISERROR($U$3),0,ROUND(INDEX(MT_NP,1,職業等級)+(MAX(0,MT保額-3)*INDEX(MT_NP,2,職業等級)),0)))</f>
        <v>0</v>
      </c>
      <c r="V9" s="146">
        <f t="shared" si="12"/>
        <v>0</v>
      </c>
      <c r="W9" s="146">
        <f t="shared" si="13"/>
        <v>0</v>
      </c>
      <c r="X9" s="146">
        <f t="shared" si="14"/>
        <v>0</v>
      </c>
      <c r="Y9" s="146"/>
      <c r="Z9" s="146"/>
      <c r="AA9" s="153"/>
    </row>
    <row r="10" spans="1:27">
      <c r="A10" s="149">
        <f t="shared" si="16"/>
        <v>6</v>
      </c>
      <c r="B10" s="150">
        <f ca="1">IF(OR(A10="",$B$3=0),0,
IF(AND(照護有術顯示判斷=2,'試算表(16歲-65歲)'!A10&gt;=20,'試算表(16歲-65歲)'!A10&lt;=29),0,
VLOOKUP("P"&amp;REPT("0",2-LEN(商品年期))&amp;商品年期&amp;"S"&amp;"1"&amp;"A"&amp;REPT("0",2-LEN(A10))&amp;A10,INDIRECT(主約費率表),6,FALSE)*$B$3))</f>
        <v>14260</v>
      </c>
      <c r="C10" s="150">
        <f t="shared" si="0"/>
        <v>0</v>
      </c>
      <c r="D10" s="150">
        <f t="shared" si="1"/>
        <v>0</v>
      </c>
      <c r="E10" s="150">
        <f t="shared" si="2"/>
        <v>0</v>
      </c>
      <c r="F10" s="150">
        <f t="shared" si="3"/>
        <v>0</v>
      </c>
      <c r="G10" s="151">
        <f t="shared" si="4"/>
        <v>0</v>
      </c>
      <c r="H10" s="151" cm="1">
        <f t="array" ref="H10">IF(OR(A10="",$H$3=0),0,IF(ISERROR($H$3),0,ROUND(INDEX(MT_NP,1,職業等級)+(MAX(0,MT保額-3)*INDEX(MT_NP,2,職業等級)),0)))</f>
        <v>0</v>
      </c>
      <c r="I10" s="150">
        <f t="shared" si="15"/>
        <v>0</v>
      </c>
      <c r="J10" s="150">
        <f t="shared" si="5"/>
        <v>0</v>
      </c>
      <c r="K10" s="150">
        <f t="shared" si="6"/>
        <v>0</v>
      </c>
      <c r="L10" s="150"/>
      <c r="M10" s="150"/>
      <c r="N10" s="152"/>
      <c r="O10" s="146">
        <f ca="1">IF(OR(A10="",$B$3=0),0,
IF(AND(照護有術顯示判斷=2,'試算表(16歲-65歲)'!A10&gt;=20,'試算表(16歲-65歲)'!A10&lt;=29),0,
VLOOKUP("P"&amp;REPT("0",2-LEN(商品年期))&amp;商品年期&amp;"S"&amp;"2"&amp;"A"&amp;REPT("0",2-LEN(A10))&amp;A10,INDIRECT(主約費率表),6,FALSE)*$O$3))</f>
        <v>14220</v>
      </c>
      <c r="P10" s="146">
        <f t="shared" si="7"/>
        <v>0</v>
      </c>
      <c r="Q10" s="146">
        <f t="shared" si="8"/>
        <v>0</v>
      </c>
      <c r="R10" s="146">
        <f t="shared" si="9"/>
        <v>0</v>
      </c>
      <c r="S10" s="146">
        <f t="shared" si="10"/>
        <v>0</v>
      </c>
      <c r="T10" s="146">
        <f t="shared" si="11"/>
        <v>0</v>
      </c>
      <c r="U10" s="146" cm="1">
        <f t="array" ref="U10">IF(OR(A10="",$U$3=0),0,IF(ISERROR($U$3),0,ROUND(INDEX(MT_NP,1,職業等級)+(MAX(0,MT保額-3)*INDEX(MT_NP,2,職業等級)),0)))</f>
        <v>0</v>
      </c>
      <c r="V10" s="146">
        <f t="shared" si="12"/>
        <v>0</v>
      </c>
      <c r="W10" s="146">
        <f t="shared" si="13"/>
        <v>0</v>
      </c>
      <c r="X10" s="146">
        <f t="shared" si="14"/>
        <v>0</v>
      </c>
      <c r="Y10" s="146"/>
      <c r="Z10" s="146"/>
      <c r="AA10" s="153"/>
    </row>
    <row r="11" spans="1:27">
      <c r="A11" s="149">
        <f t="shared" si="16"/>
        <v>7</v>
      </c>
      <c r="B11" s="150">
        <f ca="1">IF(OR(A11="",$B$3=0),0,
IF(AND(照護有術顯示判斷=2,'試算表(16歲-65歲)'!A11&gt;=20,'試算表(16歲-65歲)'!A11&lt;=29),0,
VLOOKUP("P"&amp;REPT("0",2-LEN(商品年期))&amp;商品年期&amp;"S"&amp;"1"&amp;"A"&amp;REPT("0",2-LEN(A11))&amp;A11,INDIRECT(主約費率表),6,FALSE)*$B$3))</f>
        <v>14270</v>
      </c>
      <c r="C11" s="150">
        <f t="shared" si="0"/>
        <v>0</v>
      </c>
      <c r="D11" s="150">
        <f t="shared" si="1"/>
        <v>0</v>
      </c>
      <c r="E11" s="150">
        <f t="shared" si="2"/>
        <v>0</v>
      </c>
      <c r="F11" s="150">
        <f t="shared" si="3"/>
        <v>0</v>
      </c>
      <c r="G11" s="151">
        <f t="shared" si="4"/>
        <v>0</v>
      </c>
      <c r="H11" s="151" cm="1">
        <f t="array" ref="H11">IF(OR(A11="",$H$3=0),0,IF(ISERROR($H$3),0,ROUND(INDEX(MT_NP,1,職業等級)+(MAX(0,MT保額-3)*INDEX(MT_NP,2,職業等級)),0)))</f>
        <v>0</v>
      </c>
      <c r="I11" s="150">
        <f t="shared" si="15"/>
        <v>0</v>
      </c>
      <c r="J11" s="150">
        <f t="shared" si="5"/>
        <v>0</v>
      </c>
      <c r="K11" s="150">
        <f t="shared" si="6"/>
        <v>0</v>
      </c>
      <c r="L11" s="150"/>
      <c r="M11" s="150"/>
      <c r="N11" s="152"/>
      <c r="O11" s="146">
        <f ca="1">IF(OR(A11="",$B$3=0),0,
IF(AND(照護有術顯示判斷=2,'試算表(16歲-65歲)'!A11&gt;=20,'試算表(16歲-65歲)'!A11&lt;=29),0,
VLOOKUP("P"&amp;REPT("0",2-LEN(商品年期))&amp;商品年期&amp;"S"&amp;"2"&amp;"A"&amp;REPT("0",2-LEN(A11))&amp;A11,INDIRECT(主約費率表),6,FALSE)*$O$3))</f>
        <v>14230</v>
      </c>
      <c r="P11" s="146">
        <f t="shared" si="7"/>
        <v>0</v>
      </c>
      <c r="Q11" s="146">
        <f t="shared" si="8"/>
        <v>0</v>
      </c>
      <c r="R11" s="146">
        <f t="shared" si="9"/>
        <v>0</v>
      </c>
      <c r="S11" s="146">
        <f t="shared" si="10"/>
        <v>0</v>
      </c>
      <c r="T11" s="146">
        <f t="shared" si="11"/>
        <v>0</v>
      </c>
      <c r="U11" s="146" cm="1">
        <f t="array" ref="U11">IF(OR(A11="",$U$3=0),0,IF(ISERROR($U$3),0,ROUND(INDEX(MT_NP,1,職業等級)+(MAX(0,MT保額-3)*INDEX(MT_NP,2,職業等級)),0)))</f>
        <v>0</v>
      </c>
      <c r="V11" s="146">
        <f t="shared" si="12"/>
        <v>0</v>
      </c>
      <c r="W11" s="146">
        <f t="shared" si="13"/>
        <v>0</v>
      </c>
      <c r="X11" s="146">
        <f t="shared" si="14"/>
        <v>0</v>
      </c>
      <c r="Y11" s="146"/>
      <c r="Z11" s="146"/>
      <c r="AA11" s="153"/>
    </row>
    <row r="12" spans="1:27">
      <c r="A12" s="149">
        <f t="shared" si="16"/>
        <v>8</v>
      </c>
      <c r="B12" s="150">
        <f ca="1">IF(OR(A12="",$B$3=0),0,
IF(AND(照護有術顯示判斷=2,'試算表(16歲-65歲)'!A12&gt;=20,'試算表(16歲-65歲)'!A12&lt;=29),0,
VLOOKUP("P"&amp;REPT("0",2-LEN(商品年期))&amp;商品年期&amp;"S"&amp;"1"&amp;"A"&amp;REPT("0",2-LEN(A12))&amp;A12,INDIRECT(主約費率表),6,FALSE)*$B$3))</f>
        <v>14280</v>
      </c>
      <c r="C12" s="150">
        <f t="shared" si="0"/>
        <v>0</v>
      </c>
      <c r="D12" s="150">
        <f t="shared" si="1"/>
        <v>0</v>
      </c>
      <c r="E12" s="150">
        <f t="shared" si="2"/>
        <v>0</v>
      </c>
      <c r="F12" s="150">
        <f t="shared" si="3"/>
        <v>0</v>
      </c>
      <c r="G12" s="151">
        <f t="shared" si="4"/>
        <v>0</v>
      </c>
      <c r="H12" s="151" cm="1">
        <f t="array" ref="H12">IF(OR(A12="",$H$3=0),0,IF(ISERROR($H$3),0,ROUND(INDEX(MT_NP,1,職業等級)+(MAX(0,MT保額-3)*INDEX(MT_NP,2,職業等級)),0)))</f>
        <v>0</v>
      </c>
      <c r="I12" s="150">
        <f t="shared" si="15"/>
        <v>0</v>
      </c>
      <c r="J12" s="150">
        <f t="shared" si="5"/>
        <v>0</v>
      </c>
      <c r="K12" s="150">
        <f t="shared" si="6"/>
        <v>0</v>
      </c>
      <c r="L12" s="150"/>
      <c r="M12" s="150"/>
      <c r="N12" s="152"/>
      <c r="O12" s="146">
        <f ca="1">IF(OR(A12="",$B$3=0),0,
IF(AND(照護有術顯示判斷=2,'試算表(16歲-65歲)'!A12&gt;=20,'試算表(16歲-65歲)'!A12&lt;=29),0,
VLOOKUP("P"&amp;REPT("0",2-LEN(商品年期))&amp;商品年期&amp;"S"&amp;"2"&amp;"A"&amp;REPT("0",2-LEN(A12))&amp;A12,INDIRECT(主約費率表),6,FALSE)*$O$3))</f>
        <v>14240</v>
      </c>
      <c r="P12" s="146">
        <f t="shared" si="7"/>
        <v>0</v>
      </c>
      <c r="Q12" s="146">
        <f t="shared" si="8"/>
        <v>0</v>
      </c>
      <c r="R12" s="146">
        <f t="shared" si="9"/>
        <v>0</v>
      </c>
      <c r="S12" s="146">
        <f t="shared" si="10"/>
        <v>0</v>
      </c>
      <c r="T12" s="146">
        <f t="shared" si="11"/>
        <v>0</v>
      </c>
      <c r="U12" s="146" cm="1">
        <f t="array" ref="U12">IF(OR(A12="",$U$3=0),0,IF(ISERROR($U$3),0,ROUND(INDEX(MT_NP,1,職業等級)+(MAX(0,MT保額-3)*INDEX(MT_NP,2,職業等級)),0)))</f>
        <v>0</v>
      </c>
      <c r="V12" s="146">
        <f t="shared" si="12"/>
        <v>0</v>
      </c>
      <c r="W12" s="146">
        <f t="shared" si="13"/>
        <v>0</v>
      </c>
      <c r="X12" s="146">
        <f t="shared" si="14"/>
        <v>0</v>
      </c>
      <c r="Y12" s="146"/>
      <c r="Z12" s="146"/>
      <c r="AA12" s="153"/>
    </row>
    <row r="13" spans="1:27">
      <c r="A13" s="149">
        <f t="shared" si="16"/>
        <v>9</v>
      </c>
      <c r="B13" s="150">
        <f ca="1">IF(OR(A13="",$B$3=0),0,
IF(AND(照護有術顯示判斷=2,'試算表(16歲-65歲)'!A13&gt;=20,'試算表(16歲-65歲)'!A13&lt;=29),0,
VLOOKUP("P"&amp;REPT("0",2-LEN(商品年期))&amp;商品年期&amp;"S"&amp;"1"&amp;"A"&amp;REPT("0",2-LEN(A13))&amp;A13,INDIRECT(主約費率表),6,FALSE)*$B$3))</f>
        <v>14290</v>
      </c>
      <c r="C13" s="150">
        <f t="shared" si="0"/>
        <v>0</v>
      </c>
      <c r="D13" s="150">
        <f t="shared" si="1"/>
        <v>0</v>
      </c>
      <c r="E13" s="150">
        <f t="shared" si="2"/>
        <v>0</v>
      </c>
      <c r="F13" s="150">
        <f t="shared" si="3"/>
        <v>0</v>
      </c>
      <c r="G13" s="151">
        <f t="shared" si="4"/>
        <v>0</v>
      </c>
      <c r="H13" s="151" cm="1">
        <f t="array" ref="H13">IF(OR(A13="",$H$3=0),0,IF(ISERROR($H$3),0,ROUND(INDEX(MT_NP,1,職業等級)+(MAX(0,MT保額-3)*INDEX(MT_NP,2,職業等級)),0)))</f>
        <v>0</v>
      </c>
      <c r="I13" s="150">
        <f t="shared" si="15"/>
        <v>0</v>
      </c>
      <c r="J13" s="150">
        <f t="shared" si="5"/>
        <v>0</v>
      </c>
      <c r="K13" s="150">
        <f t="shared" si="6"/>
        <v>0</v>
      </c>
      <c r="L13" s="150"/>
      <c r="M13" s="150"/>
      <c r="N13" s="152"/>
      <c r="O13" s="146">
        <f ca="1">IF(OR(A13="",$B$3=0),0,
IF(AND(照護有術顯示判斷=2,'試算表(16歲-65歲)'!A13&gt;=20,'試算表(16歲-65歲)'!A13&lt;=29),0,
VLOOKUP("P"&amp;REPT("0",2-LEN(商品年期))&amp;商品年期&amp;"S"&amp;"2"&amp;"A"&amp;REPT("0",2-LEN(A13))&amp;A13,INDIRECT(主約費率表),6,FALSE)*$O$3))</f>
        <v>14250</v>
      </c>
      <c r="P13" s="146">
        <f t="shared" si="7"/>
        <v>0</v>
      </c>
      <c r="Q13" s="146">
        <f t="shared" si="8"/>
        <v>0</v>
      </c>
      <c r="R13" s="146">
        <f t="shared" si="9"/>
        <v>0</v>
      </c>
      <c r="S13" s="146">
        <f t="shared" si="10"/>
        <v>0</v>
      </c>
      <c r="T13" s="146">
        <f t="shared" si="11"/>
        <v>0</v>
      </c>
      <c r="U13" s="146" cm="1">
        <f t="array" ref="U13">IF(OR(A13="",$U$3=0),0,IF(ISERROR($U$3),0,ROUND(INDEX(MT_NP,1,職業等級)+(MAX(0,MT保額-3)*INDEX(MT_NP,2,職業等級)),0)))</f>
        <v>0</v>
      </c>
      <c r="V13" s="146">
        <f t="shared" si="12"/>
        <v>0</v>
      </c>
      <c r="W13" s="146">
        <f t="shared" si="13"/>
        <v>0</v>
      </c>
      <c r="X13" s="146">
        <f t="shared" si="14"/>
        <v>0</v>
      </c>
      <c r="Y13" s="146"/>
      <c r="Z13" s="146"/>
      <c r="AA13" s="153"/>
    </row>
    <row r="14" spans="1:27">
      <c r="A14" s="149">
        <f t="shared" si="16"/>
        <v>10</v>
      </c>
      <c r="B14" s="150">
        <f ca="1">IF(OR(A14="",$B$3=0),0,
IF(AND(照護有術顯示判斷=2,'試算表(16歲-65歲)'!A14&gt;=20,'試算表(16歲-65歲)'!A14&lt;=29),0,
VLOOKUP("P"&amp;REPT("0",2-LEN(商品年期))&amp;商品年期&amp;"S"&amp;"1"&amp;"A"&amp;REPT("0",2-LEN(A14))&amp;A14,INDIRECT(主約費率表),6,FALSE)*$B$3))</f>
        <v>14300</v>
      </c>
      <c r="C14" s="150">
        <f t="shared" si="0"/>
        <v>0</v>
      </c>
      <c r="D14" s="150">
        <f t="shared" si="1"/>
        <v>0</v>
      </c>
      <c r="E14" s="150">
        <f t="shared" si="2"/>
        <v>0</v>
      </c>
      <c r="F14" s="150">
        <f t="shared" si="3"/>
        <v>0</v>
      </c>
      <c r="G14" s="151">
        <f t="shared" si="4"/>
        <v>0</v>
      </c>
      <c r="H14" s="151" cm="1">
        <f t="array" ref="H14">IF(OR(A14="",$H$3=0),0,IF(ISERROR($H$3),0,ROUND(INDEX(MT_NP,1,職業等級)+(MAX(0,MT保額-3)*INDEX(MT_NP,2,職業等級)),0)))</f>
        <v>0</v>
      </c>
      <c r="I14" s="150">
        <f t="shared" si="15"/>
        <v>0</v>
      </c>
      <c r="J14" s="150">
        <f t="shared" si="5"/>
        <v>0</v>
      </c>
      <c r="K14" s="150">
        <f t="shared" si="6"/>
        <v>0</v>
      </c>
      <c r="L14" s="150"/>
      <c r="M14" s="150"/>
      <c r="N14" s="152"/>
      <c r="O14" s="146">
        <f ca="1">IF(OR(A14="",$B$3=0),0,
IF(AND(照護有術顯示判斷=2,'試算表(16歲-65歲)'!A14&gt;=20,'試算表(16歲-65歲)'!A14&lt;=29),0,
VLOOKUP("P"&amp;REPT("0",2-LEN(商品年期))&amp;商品年期&amp;"S"&amp;"2"&amp;"A"&amp;REPT("0",2-LEN(A14))&amp;A14,INDIRECT(主約費率表),6,FALSE)*$O$3))</f>
        <v>14260</v>
      </c>
      <c r="P14" s="146">
        <f t="shared" si="7"/>
        <v>0</v>
      </c>
      <c r="Q14" s="146">
        <f t="shared" si="8"/>
        <v>0</v>
      </c>
      <c r="R14" s="146">
        <f t="shared" si="9"/>
        <v>0</v>
      </c>
      <c r="S14" s="146">
        <f t="shared" si="10"/>
        <v>0</v>
      </c>
      <c r="T14" s="146">
        <f t="shared" si="11"/>
        <v>0</v>
      </c>
      <c r="U14" s="146" cm="1">
        <f t="array" ref="U14">IF(OR(A14="",$U$3=0),0,IF(ISERROR($U$3),0,ROUND(INDEX(MT_NP,1,職業等級)+(MAX(0,MT保額-3)*INDEX(MT_NP,2,職業等級)),0)))</f>
        <v>0</v>
      </c>
      <c r="V14" s="146">
        <f t="shared" si="12"/>
        <v>0</v>
      </c>
      <c r="W14" s="146">
        <f t="shared" si="13"/>
        <v>0</v>
      </c>
      <c r="X14" s="146">
        <f t="shared" si="14"/>
        <v>0</v>
      </c>
      <c r="Y14" s="146"/>
      <c r="Z14" s="146"/>
      <c r="AA14" s="153"/>
    </row>
    <row r="15" spans="1:27">
      <c r="A15" s="149">
        <f t="shared" si="16"/>
        <v>11</v>
      </c>
      <c r="B15" s="150">
        <f ca="1">IF(OR(A15="",$B$3=0),0,
IF(AND(照護有術顯示判斷=2,'試算表(16歲-65歲)'!A15&gt;=20,'試算表(16歲-65歲)'!A15&lt;=29),0,
VLOOKUP("P"&amp;REPT("0",2-LEN(商品年期))&amp;商品年期&amp;"S"&amp;"1"&amp;"A"&amp;REPT("0",2-LEN(A15))&amp;A15,INDIRECT(主約費率表),6,FALSE)*$B$3))</f>
        <v>14500</v>
      </c>
      <c r="C15" s="150">
        <f t="shared" si="0"/>
        <v>0</v>
      </c>
      <c r="D15" s="150">
        <f t="shared" si="1"/>
        <v>0</v>
      </c>
      <c r="E15" s="150">
        <f t="shared" si="2"/>
        <v>0</v>
      </c>
      <c r="F15" s="150">
        <f t="shared" si="3"/>
        <v>0</v>
      </c>
      <c r="G15" s="151">
        <f t="shared" si="4"/>
        <v>0</v>
      </c>
      <c r="H15" s="151" cm="1">
        <f t="array" ref="H15">IF(OR(A15="",$H$3=0),0,IF(ISERROR($H$3),0,ROUND(INDEX(MT_NP,1,職業等級)+(MAX(0,MT保額-3)*INDEX(MT_NP,2,職業等級)),0)))</f>
        <v>0</v>
      </c>
      <c r="I15" s="150">
        <f t="shared" si="15"/>
        <v>0</v>
      </c>
      <c r="J15" s="150">
        <f t="shared" si="5"/>
        <v>0</v>
      </c>
      <c r="K15" s="150">
        <f t="shared" si="6"/>
        <v>0</v>
      </c>
      <c r="L15" s="150"/>
      <c r="M15" s="150"/>
      <c r="N15" s="152"/>
      <c r="O15" s="146">
        <f ca="1">IF(OR(A15="",$B$3=0),0,
IF(AND(照護有術顯示判斷=2,'試算表(16歲-65歲)'!A15&gt;=20,'試算表(16歲-65歲)'!A15&lt;=29),0,
VLOOKUP("P"&amp;REPT("0",2-LEN(商品年期))&amp;商品年期&amp;"S"&amp;"2"&amp;"A"&amp;REPT("0",2-LEN(A15))&amp;A15,INDIRECT(主約費率表),6,FALSE)*$O$3))</f>
        <v>14420</v>
      </c>
      <c r="P15" s="146">
        <f t="shared" si="7"/>
        <v>0</v>
      </c>
      <c r="Q15" s="146">
        <f t="shared" si="8"/>
        <v>0</v>
      </c>
      <c r="R15" s="146">
        <f t="shared" si="9"/>
        <v>0</v>
      </c>
      <c r="S15" s="146">
        <f t="shared" si="10"/>
        <v>0</v>
      </c>
      <c r="T15" s="146">
        <f t="shared" si="11"/>
        <v>0</v>
      </c>
      <c r="U15" s="146" cm="1">
        <f t="array" ref="U15">IF(OR(A15="",$U$3=0),0,IF(ISERROR($U$3),0,ROUND(INDEX(MT_NP,1,職業等級)+(MAX(0,MT保額-3)*INDEX(MT_NP,2,職業等級)),0)))</f>
        <v>0</v>
      </c>
      <c r="V15" s="146">
        <f t="shared" si="12"/>
        <v>0</v>
      </c>
      <c r="W15" s="146">
        <f t="shared" si="13"/>
        <v>0</v>
      </c>
      <c r="X15" s="146">
        <f t="shared" si="14"/>
        <v>0</v>
      </c>
      <c r="Y15" s="146"/>
      <c r="Z15" s="146"/>
      <c r="AA15" s="153"/>
    </row>
    <row r="16" spans="1:27">
      <c r="A16" s="149">
        <f t="shared" si="16"/>
        <v>12</v>
      </c>
      <c r="B16" s="150">
        <f ca="1">IF(OR(A16="",$B$3=0),0,
IF(AND(照護有術顯示判斷=2,'試算表(16歲-65歲)'!A16&gt;=20,'試算表(16歲-65歲)'!A16&lt;=29),0,
VLOOKUP("P"&amp;REPT("0",2-LEN(商品年期))&amp;商品年期&amp;"S"&amp;"1"&amp;"A"&amp;REPT("0",2-LEN(A16))&amp;A16,INDIRECT(主約費率表),6,FALSE)*$B$3))</f>
        <v>14700</v>
      </c>
      <c r="C16" s="150">
        <f t="shared" si="0"/>
        <v>0</v>
      </c>
      <c r="D16" s="150">
        <f t="shared" si="1"/>
        <v>0</v>
      </c>
      <c r="E16" s="150">
        <f t="shared" si="2"/>
        <v>0</v>
      </c>
      <c r="F16" s="150">
        <f t="shared" si="3"/>
        <v>0</v>
      </c>
      <c r="G16" s="151">
        <f t="shared" si="4"/>
        <v>0</v>
      </c>
      <c r="H16" s="151" cm="1">
        <f t="array" ref="H16">IF(OR(A16="",$H$3=0),0,IF(ISERROR($H$3),0,ROUND(INDEX(MT_NP,1,職業等級)+(MAX(0,MT保額-3)*INDEX(MT_NP,2,職業等級)),0)))</f>
        <v>0</v>
      </c>
      <c r="I16" s="150">
        <f t="shared" si="15"/>
        <v>0</v>
      </c>
      <c r="J16" s="150">
        <f t="shared" si="5"/>
        <v>0</v>
      </c>
      <c r="K16" s="150">
        <f t="shared" si="6"/>
        <v>0</v>
      </c>
      <c r="L16" s="150"/>
      <c r="M16" s="150"/>
      <c r="N16" s="152"/>
      <c r="O16" s="146">
        <f ca="1">IF(OR(A16="",$B$3=0),0,
IF(AND(照護有術顯示判斷=2,'試算表(16歲-65歲)'!A16&gt;=20,'試算表(16歲-65歲)'!A16&lt;=29),0,
VLOOKUP("P"&amp;REPT("0",2-LEN(商品年期))&amp;商品年期&amp;"S"&amp;"2"&amp;"A"&amp;REPT("0",2-LEN(A16))&amp;A16,INDIRECT(主約費率表),6,FALSE)*$O$3))</f>
        <v>14670</v>
      </c>
      <c r="P16" s="146">
        <f t="shared" si="7"/>
        <v>0</v>
      </c>
      <c r="Q16" s="146">
        <f t="shared" si="8"/>
        <v>0</v>
      </c>
      <c r="R16" s="146">
        <f t="shared" si="9"/>
        <v>0</v>
      </c>
      <c r="S16" s="146">
        <f t="shared" si="10"/>
        <v>0</v>
      </c>
      <c r="T16" s="146">
        <f t="shared" si="11"/>
        <v>0</v>
      </c>
      <c r="U16" s="146" cm="1">
        <f t="array" ref="U16">IF(OR(A16="",$U$3=0),0,IF(ISERROR($U$3),0,ROUND(INDEX(MT_NP,1,職業等級)+(MAX(0,MT保額-3)*INDEX(MT_NP,2,職業等級)),0)))</f>
        <v>0</v>
      </c>
      <c r="V16" s="146">
        <f t="shared" si="12"/>
        <v>0</v>
      </c>
      <c r="W16" s="146">
        <f t="shared" si="13"/>
        <v>0</v>
      </c>
      <c r="X16" s="146">
        <f t="shared" si="14"/>
        <v>0</v>
      </c>
      <c r="Y16" s="146"/>
      <c r="Z16" s="146"/>
      <c r="AA16" s="153"/>
    </row>
    <row r="17" spans="1:27">
      <c r="A17" s="149">
        <f t="shared" si="16"/>
        <v>13</v>
      </c>
      <c r="B17" s="150">
        <f ca="1">IF(OR(A17="",$B$3=0),0,
IF(AND(照護有術顯示判斷=2,'試算表(16歲-65歲)'!A17&gt;=20,'試算表(16歲-65歲)'!A17&lt;=29),0,
VLOOKUP("P"&amp;REPT("0",2-LEN(商品年期))&amp;商品年期&amp;"S"&amp;"1"&amp;"A"&amp;REPT("0",2-LEN(A17))&amp;A17,INDIRECT(主約費率表),6,FALSE)*$B$3))</f>
        <v>14950</v>
      </c>
      <c r="C17" s="150">
        <f t="shared" si="0"/>
        <v>0</v>
      </c>
      <c r="D17" s="150">
        <f t="shared" si="1"/>
        <v>0</v>
      </c>
      <c r="E17" s="150">
        <f t="shared" si="2"/>
        <v>0</v>
      </c>
      <c r="F17" s="150">
        <f t="shared" si="3"/>
        <v>0</v>
      </c>
      <c r="G17" s="151">
        <f t="shared" si="4"/>
        <v>0</v>
      </c>
      <c r="H17" s="151" cm="1">
        <f t="array" ref="H17">IF(OR(A17="",$H$3=0),0,IF(ISERROR($H$3),0,ROUND(INDEX(MT_NP,1,職業等級)+(MAX(0,MT保額-3)*INDEX(MT_NP,2,職業等級)),0)))</f>
        <v>0</v>
      </c>
      <c r="I17" s="150">
        <f t="shared" si="15"/>
        <v>0</v>
      </c>
      <c r="J17" s="150">
        <f t="shared" si="5"/>
        <v>0</v>
      </c>
      <c r="K17" s="150">
        <f t="shared" si="6"/>
        <v>0</v>
      </c>
      <c r="L17" s="150"/>
      <c r="M17" s="150"/>
      <c r="N17" s="152"/>
      <c r="O17" s="146">
        <f ca="1">IF(OR(A17="",$B$3=0),0,
IF(AND(照護有術顯示判斷=2,'試算表(16歲-65歲)'!A17&gt;=20,'試算表(16歲-65歲)'!A17&lt;=29),0,
VLOOKUP("P"&amp;REPT("0",2-LEN(商品年期))&amp;商品年期&amp;"S"&amp;"2"&amp;"A"&amp;REPT("0",2-LEN(A17))&amp;A17,INDIRECT(主約費率表),6,FALSE)*$O$3))</f>
        <v>14910</v>
      </c>
      <c r="P17" s="146">
        <f t="shared" si="7"/>
        <v>0</v>
      </c>
      <c r="Q17" s="146">
        <f t="shared" si="8"/>
        <v>0</v>
      </c>
      <c r="R17" s="146">
        <f t="shared" si="9"/>
        <v>0</v>
      </c>
      <c r="S17" s="146">
        <f t="shared" si="10"/>
        <v>0</v>
      </c>
      <c r="T17" s="146">
        <f t="shared" si="11"/>
        <v>0</v>
      </c>
      <c r="U17" s="146" cm="1">
        <f t="array" ref="U17">IF(OR(A17="",$U$3=0),0,IF(ISERROR($U$3),0,ROUND(INDEX(MT_NP,1,職業等級)+(MAX(0,MT保額-3)*INDEX(MT_NP,2,職業等級)),0)))</f>
        <v>0</v>
      </c>
      <c r="V17" s="146">
        <f t="shared" si="12"/>
        <v>0</v>
      </c>
      <c r="W17" s="146">
        <f t="shared" si="13"/>
        <v>0</v>
      </c>
      <c r="X17" s="146">
        <f t="shared" si="14"/>
        <v>0</v>
      </c>
      <c r="Y17" s="146"/>
      <c r="Z17" s="146"/>
      <c r="AA17" s="153"/>
    </row>
    <row r="18" spans="1:27">
      <c r="A18" s="149">
        <f t="shared" si="16"/>
        <v>14</v>
      </c>
      <c r="B18" s="150">
        <f ca="1">IF(OR(A18="",$B$3=0),0,
IF(AND(照護有術顯示判斷=2,'試算表(16歲-65歲)'!A18&gt;=20,'試算表(16歲-65歲)'!A18&lt;=29),0,
VLOOKUP("P"&amp;REPT("0",2-LEN(商品年期))&amp;商品年期&amp;"S"&amp;"1"&amp;"A"&amp;REPT("0",2-LEN(A18))&amp;A18,INDIRECT(主約費率表),6,FALSE)*$B$3))</f>
        <v>15200</v>
      </c>
      <c r="C18" s="150">
        <f t="shared" si="0"/>
        <v>0</v>
      </c>
      <c r="D18" s="150">
        <f t="shared" si="1"/>
        <v>0</v>
      </c>
      <c r="E18" s="150">
        <f t="shared" si="2"/>
        <v>0</v>
      </c>
      <c r="F18" s="150">
        <f t="shared" si="3"/>
        <v>0</v>
      </c>
      <c r="G18" s="151">
        <f t="shared" si="4"/>
        <v>0</v>
      </c>
      <c r="H18" s="151" cm="1">
        <f t="array" ref="H18">IF(OR(A18="",$H$3=0),0,IF(ISERROR($H$3),0,ROUND(INDEX(MT_NP,1,職業等級)+(MAX(0,MT保額-3)*INDEX(MT_NP,2,職業等級)),0)))</f>
        <v>0</v>
      </c>
      <c r="I18" s="150">
        <f t="shared" si="15"/>
        <v>0</v>
      </c>
      <c r="J18" s="150">
        <f t="shared" si="5"/>
        <v>0</v>
      </c>
      <c r="K18" s="150">
        <f t="shared" si="6"/>
        <v>0</v>
      </c>
      <c r="L18" s="150"/>
      <c r="M18" s="150"/>
      <c r="N18" s="152"/>
      <c r="O18" s="146">
        <f ca="1">IF(OR(A18="",$B$3=0),0,
IF(AND(照護有術顯示判斷=2,'試算表(16歲-65歲)'!A18&gt;=20,'試算表(16歲-65歲)'!A18&lt;=29),0,
VLOOKUP("P"&amp;REPT("0",2-LEN(商品年期))&amp;商品年期&amp;"S"&amp;"2"&amp;"A"&amp;REPT("0",2-LEN(A18))&amp;A18,INDIRECT(主約費率表),6,FALSE)*$O$3))</f>
        <v>15140</v>
      </c>
      <c r="P18" s="146">
        <f t="shared" si="7"/>
        <v>0</v>
      </c>
      <c r="Q18" s="146">
        <f t="shared" si="8"/>
        <v>0</v>
      </c>
      <c r="R18" s="146">
        <f t="shared" si="9"/>
        <v>0</v>
      </c>
      <c r="S18" s="146">
        <f t="shared" si="10"/>
        <v>0</v>
      </c>
      <c r="T18" s="146">
        <f t="shared" si="11"/>
        <v>0</v>
      </c>
      <c r="U18" s="146" cm="1">
        <f t="array" ref="U18">IF(OR(A18="",$U$3=0),0,IF(ISERROR($U$3),0,ROUND(INDEX(MT_NP,1,職業等級)+(MAX(0,MT保額-3)*INDEX(MT_NP,2,職業等級)),0)))</f>
        <v>0</v>
      </c>
      <c r="V18" s="146">
        <f t="shared" si="12"/>
        <v>0</v>
      </c>
      <c r="W18" s="146">
        <f t="shared" si="13"/>
        <v>0</v>
      </c>
      <c r="X18" s="146">
        <f t="shared" si="14"/>
        <v>0</v>
      </c>
      <c r="Y18" s="146"/>
      <c r="Z18" s="146"/>
      <c r="AA18" s="153"/>
    </row>
    <row r="19" spans="1:27">
      <c r="A19" s="149">
        <f t="shared" si="16"/>
        <v>15</v>
      </c>
      <c r="B19" s="150">
        <f ca="1">IF(OR(A19="",$B$3=0),0,
IF(AND(照護有術顯示判斷=2,'試算表(16歲-65歲)'!A19&gt;=20,'試算表(16歲-65歲)'!A19&lt;=29),0,
VLOOKUP("P"&amp;REPT("0",2-LEN(商品年期))&amp;商品年期&amp;"S"&amp;"1"&amp;"A"&amp;REPT("0",2-LEN(A19))&amp;A19,INDIRECT(主約費率表),6,FALSE)*$B$3))</f>
        <v>15430</v>
      </c>
      <c r="C19" s="150">
        <f t="shared" si="0"/>
        <v>0</v>
      </c>
      <c r="D19" s="150">
        <f t="shared" si="1"/>
        <v>0</v>
      </c>
      <c r="E19" s="150">
        <f t="shared" si="2"/>
        <v>0</v>
      </c>
      <c r="F19" s="150">
        <f t="shared" si="3"/>
        <v>0</v>
      </c>
      <c r="G19" s="151">
        <f t="shared" si="4"/>
        <v>0</v>
      </c>
      <c r="H19" s="151" cm="1">
        <f t="array" ref="H19">IF(OR(A19="",$H$3=0),0,IF(ISERROR($H$3),0,ROUND(INDEX(MT_NP,1,職業等級)+(MAX(0,MT保額-3)*INDEX(MT_NP,2,職業等級)),0)))</f>
        <v>0</v>
      </c>
      <c r="I19" s="150">
        <f t="shared" si="15"/>
        <v>0</v>
      </c>
      <c r="J19" s="150">
        <f t="shared" si="5"/>
        <v>0</v>
      </c>
      <c r="K19" s="150">
        <f t="shared" si="6"/>
        <v>0</v>
      </c>
      <c r="L19" s="150"/>
      <c r="M19" s="150"/>
      <c r="N19" s="152"/>
      <c r="O19" s="146">
        <f ca="1">IF(OR(A19="",$B$3=0),0,
IF(AND(照護有術顯示判斷=2,'試算表(16歲-65歲)'!A19&gt;=20,'試算表(16歲-65歲)'!A19&lt;=29),0,
VLOOKUP("P"&amp;REPT("0",2-LEN(商品年期))&amp;商品年期&amp;"S"&amp;"2"&amp;"A"&amp;REPT("0",2-LEN(A19))&amp;A19,INDIRECT(主約費率表),6,FALSE)*$O$3))</f>
        <v>15370</v>
      </c>
      <c r="P19" s="146">
        <f t="shared" si="7"/>
        <v>0</v>
      </c>
      <c r="Q19" s="146">
        <f t="shared" si="8"/>
        <v>0</v>
      </c>
      <c r="R19" s="146">
        <f t="shared" si="9"/>
        <v>0</v>
      </c>
      <c r="S19" s="146">
        <f t="shared" si="10"/>
        <v>0</v>
      </c>
      <c r="T19" s="146">
        <f t="shared" si="11"/>
        <v>0</v>
      </c>
      <c r="U19" s="146" cm="1">
        <f t="array" ref="U19">IF(OR(A19="",$U$3=0),0,IF(ISERROR($U$3),0,ROUND(INDEX(MT_NP,1,職業等級)+(MAX(0,MT保額-3)*INDEX(MT_NP,2,職業等級)),0)))</f>
        <v>0</v>
      </c>
      <c r="V19" s="146">
        <f t="shared" si="12"/>
        <v>0</v>
      </c>
      <c r="W19" s="146">
        <f t="shared" si="13"/>
        <v>0</v>
      </c>
      <c r="X19" s="146">
        <f t="shared" si="14"/>
        <v>0</v>
      </c>
      <c r="Y19" s="146"/>
      <c r="Z19" s="146"/>
      <c r="AA19" s="153"/>
    </row>
    <row r="20" spans="1:27">
      <c r="A20" s="149" t="str">
        <f t="shared" si="16"/>
        <v/>
      </c>
      <c r="B20" s="150">
        <f ca="1">IF(OR(A20="",$B$3=0),0,
IF(AND(照護有術顯示判斷=2,'試算表(16歲-65歲)'!A20&gt;=20,'試算表(16歲-65歲)'!A20&lt;=29),0,
VLOOKUP("P"&amp;REPT("0",2-LEN(商品年期))&amp;商品年期&amp;"S"&amp;"1"&amp;"A"&amp;REPT("0",2-LEN(A20))&amp;A20,INDIRECT(主約費率表),6,FALSE)*$B$3))</f>
        <v>0</v>
      </c>
      <c r="C20" s="150">
        <f t="shared" si="0"/>
        <v>0</v>
      </c>
      <c r="D20" s="150">
        <f t="shared" si="1"/>
        <v>0</v>
      </c>
      <c r="E20" s="150">
        <f t="shared" si="2"/>
        <v>0</v>
      </c>
      <c r="F20" s="150">
        <f t="shared" si="3"/>
        <v>0</v>
      </c>
      <c r="G20" s="151">
        <f t="shared" si="4"/>
        <v>0</v>
      </c>
      <c r="H20" s="151" cm="1">
        <f t="array" ref="H20">IF(OR(A20="",$H$3=0),0,IF(ISERROR($H$3),0,ROUND(INDEX(MT_NP,1,職業等級)+(MAX(0,MT保額-3)*INDEX(MT_NP,2,職業等級)),0)))</f>
        <v>0</v>
      </c>
      <c r="I20" s="150">
        <f t="shared" si="15"/>
        <v>0</v>
      </c>
      <c r="J20" s="150">
        <f t="shared" si="5"/>
        <v>0</v>
      </c>
      <c r="K20" s="150">
        <f t="shared" si="6"/>
        <v>0</v>
      </c>
      <c r="L20" s="150"/>
      <c r="M20" s="150"/>
      <c r="N20" s="152"/>
      <c r="O20" s="146">
        <f ca="1">IF(OR(A20="",$B$3=0),0,
IF(AND(照護有術顯示判斷=2,'試算表(16歲-65歲)'!A20&gt;=20,'試算表(16歲-65歲)'!A20&lt;=29),0,
VLOOKUP("P"&amp;REPT("0",2-LEN(商品年期))&amp;商品年期&amp;"S"&amp;"2"&amp;"A"&amp;REPT("0",2-LEN(A20))&amp;A20,INDIRECT(主約費率表),6,FALSE)*$O$3))</f>
        <v>0</v>
      </c>
      <c r="P20" s="146">
        <f t="shared" si="7"/>
        <v>0</v>
      </c>
      <c r="Q20" s="146">
        <f t="shared" si="8"/>
        <v>0</v>
      </c>
      <c r="R20" s="146">
        <f t="shared" si="9"/>
        <v>0</v>
      </c>
      <c r="S20" s="146">
        <f t="shared" si="10"/>
        <v>0</v>
      </c>
      <c r="T20" s="146">
        <f t="shared" si="11"/>
        <v>0</v>
      </c>
      <c r="U20" s="146" cm="1">
        <f t="array" ref="U20">IF(OR(A20="",$U$3=0),0,IF(ISERROR($U$3),0,ROUND(INDEX(MT_NP,1,職業等級)+(MAX(0,MT保額-3)*INDEX(MT_NP,2,職業等級)),0)))</f>
        <v>0</v>
      </c>
      <c r="V20" s="146">
        <f t="shared" si="12"/>
        <v>0</v>
      </c>
      <c r="W20" s="146">
        <f t="shared" si="13"/>
        <v>0</v>
      </c>
      <c r="X20" s="146">
        <f t="shared" si="14"/>
        <v>0</v>
      </c>
      <c r="Y20" s="146"/>
      <c r="Z20" s="146"/>
      <c r="AA20" s="153"/>
    </row>
    <row r="21" spans="1:27">
      <c r="A21" s="149" t="str">
        <f t="shared" si="16"/>
        <v/>
      </c>
      <c r="B21" s="150">
        <f ca="1">IF(OR(A21="",$B$3=0),0,
IF(AND(照護有術顯示判斷=2,'試算表(16歲-65歲)'!A21&gt;=20,'試算表(16歲-65歲)'!A21&lt;=29),0,
VLOOKUP("P"&amp;REPT("0",2-LEN(商品年期))&amp;商品年期&amp;"S"&amp;"1"&amp;"A"&amp;REPT("0",2-LEN(A21))&amp;A21,INDIRECT(主約費率表),6,FALSE)*$B$3))</f>
        <v>0</v>
      </c>
      <c r="C21" s="150">
        <f t="shared" si="0"/>
        <v>0</v>
      </c>
      <c r="D21" s="150">
        <f t="shared" si="1"/>
        <v>0</v>
      </c>
      <c r="E21" s="150">
        <f t="shared" si="2"/>
        <v>0</v>
      </c>
      <c r="F21" s="150">
        <f t="shared" si="3"/>
        <v>0</v>
      </c>
      <c r="G21" s="151">
        <f t="shared" si="4"/>
        <v>0</v>
      </c>
      <c r="H21" s="151" cm="1">
        <f t="array" ref="H21">IF(OR(A21="",$H$3=0),0,IF(ISERROR($H$3),0,ROUND(INDEX(MT_NP,1,職業等級)+(MAX(0,MT保額-3)*INDEX(MT_NP,2,職業等級)),0)))</f>
        <v>0</v>
      </c>
      <c r="I21" s="150">
        <f t="shared" si="15"/>
        <v>0</v>
      </c>
      <c r="J21" s="150">
        <f t="shared" si="5"/>
        <v>0</v>
      </c>
      <c r="K21" s="150">
        <f t="shared" si="6"/>
        <v>0</v>
      </c>
      <c r="L21" s="150"/>
      <c r="M21" s="150"/>
      <c r="N21" s="152"/>
      <c r="O21" s="146">
        <f ca="1">IF(OR(A21="",$B$3=0),0,
IF(AND(照護有術顯示判斷=2,'試算表(16歲-65歲)'!A21&gt;=20,'試算表(16歲-65歲)'!A21&lt;=29),0,
VLOOKUP("P"&amp;REPT("0",2-LEN(商品年期))&amp;商品年期&amp;"S"&amp;"2"&amp;"A"&amp;REPT("0",2-LEN(A21))&amp;A21,INDIRECT(主約費率表),6,FALSE)*$O$3))</f>
        <v>0</v>
      </c>
      <c r="P21" s="146">
        <f t="shared" si="7"/>
        <v>0</v>
      </c>
      <c r="Q21" s="146">
        <f t="shared" si="8"/>
        <v>0</v>
      </c>
      <c r="R21" s="146">
        <f t="shared" si="9"/>
        <v>0</v>
      </c>
      <c r="S21" s="146">
        <f t="shared" si="10"/>
        <v>0</v>
      </c>
      <c r="T21" s="146">
        <f t="shared" si="11"/>
        <v>0</v>
      </c>
      <c r="U21" s="146" cm="1">
        <f t="array" ref="U21">IF(OR(A21="",$U$3=0),0,IF(ISERROR($U$3),0,ROUND(INDEX(MT_NP,1,職業等級)+(MAX(0,MT保額-3)*INDEX(MT_NP,2,職業等級)),0)))</f>
        <v>0</v>
      </c>
      <c r="V21" s="146">
        <f t="shared" si="12"/>
        <v>0</v>
      </c>
      <c r="W21" s="146">
        <f t="shared" si="13"/>
        <v>0</v>
      </c>
      <c r="X21" s="146">
        <f t="shared" si="14"/>
        <v>0</v>
      </c>
      <c r="Y21" s="146"/>
      <c r="Z21" s="146"/>
      <c r="AA21" s="153"/>
    </row>
    <row r="22" spans="1:27">
      <c r="A22" s="149" t="str">
        <f t="shared" si="16"/>
        <v/>
      </c>
      <c r="B22" s="150">
        <f ca="1">IF(OR(A22="",$B$3=0),0,
IF(AND(照護有術顯示判斷=2,'試算表(16歲-65歲)'!A22&gt;=20,'試算表(16歲-65歲)'!A22&lt;=29),0,
VLOOKUP("P"&amp;REPT("0",2-LEN(商品年期))&amp;商品年期&amp;"S"&amp;"1"&amp;"A"&amp;REPT("0",2-LEN(A22))&amp;A22,INDIRECT(主約費率表),6,FALSE)*$B$3))</f>
        <v>0</v>
      </c>
      <c r="C22" s="150">
        <f t="shared" si="0"/>
        <v>0</v>
      </c>
      <c r="D22" s="150">
        <f t="shared" si="1"/>
        <v>0</v>
      </c>
      <c r="E22" s="150">
        <f t="shared" si="2"/>
        <v>0</v>
      </c>
      <c r="F22" s="150">
        <f t="shared" si="3"/>
        <v>0</v>
      </c>
      <c r="G22" s="151">
        <f t="shared" si="4"/>
        <v>0</v>
      </c>
      <c r="H22" s="151" cm="1">
        <f t="array" ref="H22">IF(OR(A22="",$H$3=0),0,IF(ISERROR($H$3),0,ROUND(INDEX(MT_NP,1,職業等級)+(MAX(0,MT保額-3)*INDEX(MT_NP,2,職業等級)),0)))</f>
        <v>0</v>
      </c>
      <c r="I22" s="150">
        <f t="shared" si="15"/>
        <v>0</v>
      </c>
      <c r="J22" s="150">
        <f t="shared" si="5"/>
        <v>0</v>
      </c>
      <c r="K22" s="150">
        <f t="shared" si="6"/>
        <v>0</v>
      </c>
      <c r="L22" s="150"/>
      <c r="M22" s="150"/>
      <c r="N22" s="152"/>
      <c r="O22" s="146">
        <f ca="1">IF(OR(A22="",$B$3=0),0,
IF(AND(照護有術顯示判斷=2,'試算表(16歲-65歲)'!A22&gt;=20,'試算表(16歲-65歲)'!A22&lt;=29),0,
VLOOKUP("P"&amp;REPT("0",2-LEN(商品年期))&amp;商品年期&amp;"S"&amp;"2"&amp;"A"&amp;REPT("0",2-LEN(A22))&amp;A22,INDIRECT(主約費率表),6,FALSE)*$O$3))</f>
        <v>0</v>
      </c>
      <c r="P22" s="146">
        <f t="shared" si="7"/>
        <v>0</v>
      </c>
      <c r="Q22" s="146">
        <f t="shared" si="8"/>
        <v>0</v>
      </c>
      <c r="R22" s="146">
        <f t="shared" si="9"/>
        <v>0</v>
      </c>
      <c r="S22" s="146">
        <f t="shared" si="10"/>
        <v>0</v>
      </c>
      <c r="T22" s="146">
        <f t="shared" si="11"/>
        <v>0</v>
      </c>
      <c r="U22" s="146" cm="1">
        <f t="array" ref="U22">IF(OR(A22="",$U$3=0),0,IF(ISERROR($U$3),0,ROUND(INDEX(MT_NP,1,職業等級)+(MAX(0,MT保額-3)*INDEX(MT_NP,2,職業等級)),0)))</f>
        <v>0</v>
      </c>
      <c r="V22" s="146">
        <f t="shared" si="12"/>
        <v>0</v>
      </c>
      <c r="W22" s="146">
        <f t="shared" si="13"/>
        <v>0</v>
      </c>
      <c r="X22" s="146">
        <f t="shared" si="14"/>
        <v>0</v>
      </c>
      <c r="Y22" s="146"/>
      <c r="Z22" s="146"/>
      <c r="AA22" s="153"/>
    </row>
    <row r="23" spans="1:27">
      <c r="A23" s="149" t="str">
        <f t="shared" si="16"/>
        <v/>
      </c>
      <c r="B23" s="150">
        <f ca="1">IF(OR(A23="",$B$3=0),0,
IF(AND(照護有術顯示判斷=2,'試算表(16歲-65歲)'!A23&gt;=20,'試算表(16歲-65歲)'!A23&lt;=29),0,
VLOOKUP("P"&amp;REPT("0",2-LEN(商品年期))&amp;商品年期&amp;"S"&amp;"1"&amp;"A"&amp;REPT("0",2-LEN(A23))&amp;A23,INDIRECT(主約費率表),6,FALSE)*$B$3))</f>
        <v>0</v>
      </c>
      <c r="C23" s="150">
        <f t="shared" si="0"/>
        <v>0</v>
      </c>
      <c r="D23" s="150">
        <f t="shared" si="1"/>
        <v>0</v>
      </c>
      <c r="E23" s="150">
        <f t="shared" si="2"/>
        <v>0</v>
      </c>
      <c r="F23" s="150">
        <f t="shared" si="3"/>
        <v>0</v>
      </c>
      <c r="G23" s="151">
        <f t="shared" si="4"/>
        <v>0</v>
      </c>
      <c r="H23" s="151" cm="1">
        <f t="array" ref="H23">IF(OR(A23="",$H$3=0),0,IF(ISERROR($H$3),0,ROUND(INDEX(MT_NP,1,職業等級)+(MAX(0,MT保額-3)*INDEX(MT_NP,2,職業等級)),0)))</f>
        <v>0</v>
      </c>
      <c r="I23" s="150">
        <f t="shared" si="15"/>
        <v>0</v>
      </c>
      <c r="J23" s="150">
        <f t="shared" si="5"/>
        <v>0</v>
      </c>
      <c r="K23" s="150">
        <f t="shared" si="6"/>
        <v>0</v>
      </c>
      <c r="L23" s="150"/>
      <c r="M23" s="150"/>
      <c r="N23" s="152"/>
      <c r="O23" s="146">
        <f ca="1">IF(OR(A23="",$B$3=0),0,
IF(AND(照護有術顯示判斷=2,'試算表(16歲-65歲)'!A23&gt;=20,'試算表(16歲-65歲)'!A23&lt;=29),0,
VLOOKUP("P"&amp;REPT("0",2-LEN(商品年期))&amp;商品年期&amp;"S"&amp;"2"&amp;"A"&amp;REPT("0",2-LEN(A23))&amp;A23,INDIRECT(主約費率表),6,FALSE)*$O$3))</f>
        <v>0</v>
      </c>
      <c r="P23" s="146">
        <f t="shared" si="7"/>
        <v>0</v>
      </c>
      <c r="Q23" s="146">
        <f t="shared" si="8"/>
        <v>0</v>
      </c>
      <c r="R23" s="146">
        <f t="shared" si="9"/>
        <v>0</v>
      </c>
      <c r="S23" s="146">
        <f t="shared" si="10"/>
        <v>0</v>
      </c>
      <c r="T23" s="146">
        <f t="shared" si="11"/>
        <v>0</v>
      </c>
      <c r="U23" s="146" cm="1">
        <f t="array" ref="U23">IF(OR(A23="",$U$3=0),0,IF(ISERROR($U$3),0,ROUND(INDEX(MT_NP,1,職業等級)+(MAX(0,MT保額-3)*INDEX(MT_NP,2,職業等級)),0)))</f>
        <v>0</v>
      </c>
      <c r="V23" s="146">
        <f t="shared" si="12"/>
        <v>0</v>
      </c>
      <c r="W23" s="146">
        <f t="shared" si="13"/>
        <v>0</v>
      </c>
      <c r="X23" s="146">
        <f t="shared" si="14"/>
        <v>0</v>
      </c>
      <c r="Y23" s="146"/>
      <c r="Z23" s="146"/>
      <c r="AA23" s="153"/>
    </row>
    <row r="24" spans="1:27">
      <c r="A24" s="149" t="str">
        <f t="shared" si="16"/>
        <v/>
      </c>
      <c r="B24" s="150">
        <f ca="1">IF(OR(A24="",$B$3=0),0,
IF(AND(照護有術顯示判斷=2,'試算表(16歲-65歲)'!A24&gt;=20,'試算表(16歲-65歲)'!A24&lt;=29),0,
VLOOKUP("P"&amp;REPT("0",2-LEN(商品年期))&amp;商品年期&amp;"S"&amp;"1"&amp;"A"&amp;REPT("0",2-LEN(A24))&amp;A24,INDIRECT(主約費率表),6,FALSE)*$B$3))</f>
        <v>0</v>
      </c>
      <c r="C24" s="150">
        <f t="shared" si="0"/>
        <v>0</v>
      </c>
      <c r="D24" s="150">
        <f t="shared" si="1"/>
        <v>0</v>
      </c>
      <c r="E24" s="150">
        <f t="shared" si="2"/>
        <v>0</v>
      </c>
      <c r="F24" s="150">
        <f t="shared" si="3"/>
        <v>0</v>
      </c>
      <c r="G24" s="151">
        <f t="shared" si="4"/>
        <v>0</v>
      </c>
      <c r="H24" s="151" cm="1">
        <f t="array" ref="H24">IF(OR(A24="",$H$3=0),0,IF(ISERROR($H$3),0,ROUND(INDEX(MT_NP,1,職業等級)+(MAX(0,MT保額-3)*INDEX(MT_NP,2,職業等級)),0)))</f>
        <v>0</v>
      </c>
      <c r="I24" s="150">
        <f t="shared" si="15"/>
        <v>0</v>
      </c>
      <c r="J24" s="150">
        <f t="shared" si="5"/>
        <v>0</v>
      </c>
      <c r="K24" s="150">
        <f t="shared" si="6"/>
        <v>0</v>
      </c>
      <c r="L24" s="150"/>
      <c r="M24" s="150"/>
      <c r="N24" s="152"/>
      <c r="O24" s="146">
        <f ca="1">IF(OR(A24="",$B$3=0),0,
IF(AND(照護有術顯示判斷=2,'試算表(16歲-65歲)'!A24&gt;=20,'試算表(16歲-65歲)'!A24&lt;=29),0,
VLOOKUP("P"&amp;REPT("0",2-LEN(商品年期))&amp;商品年期&amp;"S"&amp;"2"&amp;"A"&amp;REPT("0",2-LEN(A24))&amp;A24,INDIRECT(主約費率表),6,FALSE)*$O$3))</f>
        <v>0</v>
      </c>
      <c r="P24" s="146">
        <f t="shared" si="7"/>
        <v>0</v>
      </c>
      <c r="Q24" s="146">
        <f t="shared" si="8"/>
        <v>0</v>
      </c>
      <c r="R24" s="146">
        <f t="shared" si="9"/>
        <v>0</v>
      </c>
      <c r="S24" s="146">
        <f t="shared" si="10"/>
        <v>0</v>
      </c>
      <c r="T24" s="146">
        <f t="shared" si="11"/>
        <v>0</v>
      </c>
      <c r="U24" s="146" cm="1">
        <f t="array" ref="U24">IF(OR(A24="",$U$3=0),0,IF(ISERROR($U$3),0,ROUND(INDEX(MT_NP,1,職業等級)+(MAX(0,MT保額-3)*INDEX(MT_NP,2,職業等級)),0)))</f>
        <v>0</v>
      </c>
      <c r="V24" s="146">
        <f t="shared" si="12"/>
        <v>0</v>
      </c>
      <c r="W24" s="146">
        <f t="shared" si="13"/>
        <v>0</v>
      </c>
      <c r="X24" s="146">
        <f t="shared" si="14"/>
        <v>0</v>
      </c>
      <c r="Y24" s="146"/>
      <c r="Z24" s="146"/>
      <c r="AA24" s="153"/>
    </row>
    <row r="25" spans="1:27">
      <c r="A25" s="149" t="str">
        <f t="shared" si="16"/>
        <v/>
      </c>
      <c r="B25" s="150">
        <f ca="1">IF(OR(A25="",$B$3=0),0,
IF(AND(照護有術顯示判斷=2,'試算表(16歲-65歲)'!A25&gt;=20,'試算表(16歲-65歲)'!A25&lt;=29),0,
VLOOKUP("P"&amp;REPT("0",2-LEN(商品年期))&amp;商品年期&amp;"S"&amp;"1"&amp;"A"&amp;REPT("0",2-LEN(A25))&amp;A25,INDIRECT(主約費率表),6,FALSE)*$B$3))</f>
        <v>0</v>
      </c>
      <c r="C25" s="150">
        <f t="shared" si="0"/>
        <v>0</v>
      </c>
      <c r="D25" s="150">
        <f t="shared" si="1"/>
        <v>0</v>
      </c>
      <c r="E25" s="150">
        <f t="shared" si="2"/>
        <v>0</v>
      </c>
      <c r="F25" s="150">
        <f t="shared" si="3"/>
        <v>0</v>
      </c>
      <c r="G25" s="151">
        <f t="shared" si="4"/>
        <v>0</v>
      </c>
      <c r="H25" s="151" cm="1">
        <f t="array" ref="H25">IF(OR(A25="",$H$3=0),0,IF(ISERROR($H$3),0,ROUND(INDEX(MT_NP,1,職業等級)+(MAX(0,MT保額-3)*INDEX(MT_NP,2,職業等級)),0)))</f>
        <v>0</v>
      </c>
      <c r="I25" s="150">
        <f t="shared" si="15"/>
        <v>0</v>
      </c>
      <c r="J25" s="150">
        <f t="shared" si="5"/>
        <v>0</v>
      </c>
      <c r="K25" s="150">
        <f t="shared" si="6"/>
        <v>0</v>
      </c>
      <c r="L25" s="150"/>
      <c r="M25" s="150"/>
      <c r="N25" s="152"/>
      <c r="O25" s="146">
        <f ca="1">IF(OR(A25="",$B$3=0),0,
IF(AND(照護有術顯示判斷=2,'試算表(16歲-65歲)'!A25&gt;=20,'試算表(16歲-65歲)'!A25&lt;=29),0,
VLOOKUP("P"&amp;REPT("0",2-LEN(商品年期))&amp;商品年期&amp;"S"&amp;"2"&amp;"A"&amp;REPT("0",2-LEN(A25))&amp;A25,INDIRECT(主約費率表),6,FALSE)*$O$3))</f>
        <v>0</v>
      </c>
      <c r="P25" s="146">
        <f t="shared" si="7"/>
        <v>0</v>
      </c>
      <c r="Q25" s="146">
        <f t="shared" si="8"/>
        <v>0</v>
      </c>
      <c r="R25" s="146">
        <f t="shared" si="9"/>
        <v>0</v>
      </c>
      <c r="S25" s="146">
        <f t="shared" si="10"/>
        <v>0</v>
      </c>
      <c r="T25" s="146">
        <f t="shared" si="11"/>
        <v>0</v>
      </c>
      <c r="U25" s="146" cm="1">
        <f t="array" ref="U25">IF(OR(A25="",$U$3=0),0,IF(ISERROR($U$3),0,ROUND(INDEX(MT_NP,1,職業等級)+(MAX(0,MT保額-3)*INDEX(MT_NP,2,職業等級)),0)))</f>
        <v>0</v>
      </c>
      <c r="V25" s="146">
        <f t="shared" si="12"/>
        <v>0</v>
      </c>
      <c r="W25" s="146">
        <f t="shared" si="13"/>
        <v>0</v>
      </c>
      <c r="X25" s="146">
        <f t="shared" si="14"/>
        <v>0</v>
      </c>
      <c r="Y25" s="146"/>
      <c r="Z25" s="146"/>
      <c r="AA25" s="153"/>
    </row>
    <row r="26" spans="1:27">
      <c r="A26" s="149" t="str">
        <f t="shared" si="16"/>
        <v/>
      </c>
      <c r="B26" s="150">
        <f ca="1">IF(OR(A26="",$B$3=0),0,
IF(AND(照護有術顯示判斷=2,'試算表(16歲-65歲)'!A26&gt;=20,'試算表(16歲-65歲)'!A26&lt;=29),0,
VLOOKUP("P"&amp;REPT("0",2-LEN(商品年期))&amp;商品年期&amp;"S"&amp;"1"&amp;"A"&amp;REPT("0",2-LEN(A26))&amp;A26,INDIRECT(主約費率表),6,FALSE)*$B$3))</f>
        <v>0</v>
      </c>
      <c r="C26" s="150">
        <f t="shared" si="0"/>
        <v>0</v>
      </c>
      <c r="D26" s="150">
        <f t="shared" si="1"/>
        <v>0</v>
      </c>
      <c r="E26" s="150">
        <f t="shared" si="2"/>
        <v>0</v>
      </c>
      <c r="F26" s="150">
        <f t="shared" si="3"/>
        <v>0</v>
      </c>
      <c r="G26" s="151">
        <f t="shared" si="4"/>
        <v>0</v>
      </c>
      <c r="H26" s="151" cm="1">
        <f t="array" ref="H26">IF(OR(A26="",$H$3=0),0,IF(ISERROR($H$3),0,ROUND(INDEX(MT_NP,1,職業等級)+(MAX(0,MT保額-3)*INDEX(MT_NP,2,職業等級)),0)))</f>
        <v>0</v>
      </c>
      <c r="I26" s="150">
        <f t="shared" si="15"/>
        <v>0</v>
      </c>
      <c r="J26" s="150">
        <f t="shared" si="5"/>
        <v>0</v>
      </c>
      <c r="K26" s="150">
        <f t="shared" si="6"/>
        <v>0</v>
      </c>
      <c r="L26" s="150"/>
      <c r="M26" s="150"/>
      <c r="N26" s="152"/>
      <c r="O26" s="146">
        <f ca="1">IF(OR(A26="",$B$3=0),0,
IF(AND(照護有術顯示判斷=2,'試算表(16歲-65歲)'!A26&gt;=20,'試算表(16歲-65歲)'!A26&lt;=29),0,
VLOOKUP("P"&amp;REPT("0",2-LEN(商品年期))&amp;商品年期&amp;"S"&amp;"2"&amp;"A"&amp;REPT("0",2-LEN(A26))&amp;A26,INDIRECT(主約費率表),6,FALSE)*$O$3))</f>
        <v>0</v>
      </c>
      <c r="P26" s="146">
        <f t="shared" si="7"/>
        <v>0</v>
      </c>
      <c r="Q26" s="146">
        <f t="shared" si="8"/>
        <v>0</v>
      </c>
      <c r="R26" s="146">
        <f t="shared" si="9"/>
        <v>0</v>
      </c>
      <c r="S26" s="146">
        <f t="shared" si="10"/>
        <v>0</v>
      </c>
      <c r="T26" s="146">
        <f t="shared" si="11"/>
        <v>0</v>
      </c>
      <c r="U26" s="146" cm="1">
        <f t="array" ref="U26">IF(OR(A26="",$U$3=0),0,IF(ISERROR($U$3),0,ROUND(INDEX(MT_NP,1,職業等級)+(MAX(0,MT保額-3)*INDEX(MT_NP,2,職業等級)),0)))</f>
        <v>0</v>
      </c>
      <c r="V26" s="146">
        <f t="shared" si="12"/>
        <v>0</v>
      </c>
      <c r="W26" s="146">
        <f t="shared" si="13"/>
        <v>0</v>
      </c>
      <c r="X26" s="146">
        <f t="shared" si="14"/>
        <v>0</v>
      </c>
      <c r="Y26" s="146"/>
      <c r="Z26" s="146"/>
      <c r="AA26" s="153"/>
    </row>
    <row r="27" spans="1:27">
      <c r="A27" s="149" t="str">
        <f t="shared" si="16"/>
        <v/>
      </c>
      <c r="B27" s="150">
        <f ca="1">IF(OR(A27="",$B$3=0),0,
IF(AND(照護有術顯示判斷=2,'試算表(16歲-65歲)'!A27&gt;=20,'試算表(16歲-65歲)'!A27&lt;=29),0,
VLOOKUP("P"&amp;REPT("0",2-LEN(商品年期))&amp;商品年期&amp;"S"&amp;"1"&amp;"A"&amp;REPT("0",2-LEN(A27))&amp;A27,INDIRECT(主約費率表),6,FALSE)*$B$3))</f>
        <v>0</v>
      </c>
      <c r="C27" s="150">
        <f t="shared" si="0"/>
        <v>0</v>
      </c>
      <c r="D27" s="150">
        <f t="shared" si="1"/>
        <v>0</v>
      </c>
      <c r="E27" s="150">
        <f t="shared" si="2"/>
        <v>0</v>
      </c>
      <c r="F27" s="150">
        <f t="shared" si="3"/>
        <v>0</v>
      </c>
      <c r="G27" s="151">
        <f t="shared" si="4"/>
        <v>0</v>
      </c>
      <c r="H27" s="151" cm="1">
        <f t="array" ref="H27">IF(OR(A27="",$H$3=0),0,IF(ISERROR($H$3),0,ROUND(INDEX(MT_NP,1,職業等級)+(MAX(0,MT保額-3)*INDEX(MT_NP,2,職業等級)),0)))</f>
        <v>0</v>
      </c>
      <c r="I27" s="150">
        <f t="shared" si="15"/>
        <v>0</v>
      </c>
      <c r="J27" s="150">
        <f t="shared" si="5"/>
        <v>0</v>
      </c>
      <c r="K27" s="150">
        <f t="shared" si="6"/>
        <v>0</v>
      </c>
      <c r="L27" s="150"/>
      <c r="M27" s="150"/>
      <c r="N27" s="152"/>
      <c r="O27" s="146">
        <f ca="1">IF(OR(A27="",$B$3=0),0,
IF(AND(照護有術顯示判斷=2,'試算表(16歲-65歲)'!A27&gt;=20,'試算表(16歲-65歲)'!A27&lt;=29),0,
VLOOKUP("P"&amp;REPT("0",2-LEN(商品年期))&amp;商品年期&amp;"S"&amp;"2"&amp;"A"&amp;REPT("0",2-LEN(A27))&amp;A27,INDIRECT(主約費率表),6,FALSE)*$O$3))</f>
        <v>0</v>
      </c>
      <c r="P27" s="146">
        <f t="shared" si="7"/>
        <v>0</v>
      </c>
      <c r="Q27" s="146">
        <f t="shared" si="8"/>
        <v>0</v>
      </c>
      <c r="R27" s="146">
        <f t="shared" si="9"/>
        <v>0</v>
      </c>
      <c r="S27" s="146">
        <f t="shared" si="10"/>
        <v>0</v>
      </c>
      <c r="T27" s="146">
        <f t="shared" si="11"/>
        <v>0</v>
      </c>
      <c r="U27" s="146" cm="1">
        <f t="array" ref="U27">IF(OR(A27="",$U$3=0),0,IF(ISERROR($U$3),0,ROUND(INDEX(MT_NP,1,職業等級)+(MAX(0,MT保額-3)*INDEX(MT_NP,2,職業等級)),0)))</f>
        <v>0</v>
      </c>
      <c r="V27" s="146">
        <f t="shared" si="12"/>
        <v>0</v>
      </c>
      <c r="W27" s="146">
        <f t="shared" si="13"/>
        <v>0</v>
      </c>
      <c r="X27" s="146">
        <f t="shared" si="14"/>
        <v>0</v>
      </c>
      <c r="Y27" s="146"/>
      <c r="Z27" s="146"/>
      <c r="AA27" s="153"/>
    </row>
    <row r="28" spans="1:27">
      <c r="A28" s="149" t="str">
        <f t="shared" si="16"/>
        <v/>
      </c>
      <c r="B28" s="150">
        <f ca="1">IF(OR(A28="",$B$3=0),0,
IF(AND(照護有術顯示判斷=2,'試算表(16歲-65歲)'!A28&gt;=20,'試算表(16歲-65歲)'!A28&lt;=29),0,
VLOOKUP("P"&amp;REPT("0",2-LEN(商品年期))&amp;商品年期&amp;"S"&amp;"1"&amp;"A"&amp;REPT("0",2-LEN(A28))&amp;A28,INDIRECT(主約費率表),6,FALSE)*$B$3))</f>
        <v>0</v>
      </c>
      <c r="C28" s="150">
        <f t="shared" si="0"/>
        <v>0</v>
      </c>
      <c r="D28" s="150">
        <f t="shared" si="1"/>
        <v>0</v>
      </c>
      <c r="E28" s="150">
        <f t="shared" si="2"/>
        <v>0</v>
      </c>
      <c r="F28" s="150">
        <f t="shared" si="3"/>
        <v>0</v>
      </c>
      <c r="G28" s="151">
        <f t="shared" si="4"/>
        <v>0</v>
      </c>
      <c r="H28" s="151" cm="1">
        <f t="array" ref="H28">IF(OR(A28="",$H$3=0),0,IF(ISERROR($H$3),0,ROUND(INDEX(MT_NP,1,職業等級)+(MAX(0,MT保額-3)*INDEX(MT_NP,2,職業等級)),0)))</f>
        <v>0</v>
      </c>
      <c r="I28" s="150">
        <f t="shared" si="15"/>
        <v>0</v>
      </c>
      <c r="J28" s="150">
        <f t="shared" si="5"/>
        <v>0</v>
      </c>
      <c r="K28" s="150">
        <f t="shared" si="6"/>
        <v>0</v>
      </c>
      <c r="L28" s="150"/>
      <c r="M28" s="150"/>
      <c r="N28" s="152"/>
      <c r="O28" s="146">
        <f ca="1">IF(OR(A28="",$B$3=0),0,
IF(AND(照護有術顯示判斷=2,'試算表(16歲-65歲)'!A28&gt;=20,'試算表(16歲-65歲)'!A28&lt;=29),0,
VLOOKUP("P"&amp;REPT("0",2-LEN(商品年期))&amp;商品年期&amp;"S"&amp;"2"&amp;"A"&amp;REPT("0",2-LEN(A28))&amp;A28,INDIRECT(主約費率表),6,FALSE)*$O$3))</f>
        <v>0</v>
      </c>
      <c r="P28" s="146">
        <f t="shared" si="7"/>
        <v>0</v>
      </c>
      <c r="Q28" s="146">
        <f t="shared" si="8"/>
        <v>0</v>
      </c>
      <c r="R28" s="146">
        <f t="shared" si="9"/>
        <v>0</v>
      </c>
      <c r="S28" s="146">
        <f t="shared" si="10"/>
        <v>0</v>
      </c>
      <c r="T28" s="146">
        <f t="shared" si="11"/>
        <v>0</v>
      </c>
      <c r="U28" s="146" cm="1">
        <f t="array" ref="U28">IF(OR(A28="",$U$3=0),0,IF(ISERROR($U$3),0,ROUND(INDEX(MT_NP,1,職業等級)+(MAX(0,MT保額-3)*INDEX(MT_NP,2,職業等級)),0)))</f>
        <v>0</v>
      </c>
      <c r="V28" s="146">
        <f t="shared" si="12"/>
        <v>0</v>
      </c>
      <c r="W28" s="146">
        <f t="shared" si="13"/>
        <v>0</v>
      </c>
      <c r="X28" s="146">
        <f t="shared" si="14"/>
        <v>0</v>
      </c>
      <c r="Y28" s="146"/>
      <c r="Z28" s="146"/>
      <c r="AA28" s="153"/>
    </row>
    <row r="29" spans="1:27">
      <c r="A29" s="149" t="str">
        <f t="shared" si="16"/>
        <v/>
      </c>
      <c r="B29" s="150">
        <f ca="1">IF(OR(A29="",$B$3=0),0,
IF(AND(照護有術顯示判斷=2,'試算表(16歲-65歲)'!A29&gt;=20,'試算表(16歲-65歲)'!A29&lt;=29),0,
VLOOKUP("P"&amp;REPT("0",2-LEN(商品年期))&amp;商品年期&amp;"S"&amp;"1"&amp;"A"&amp;REPT("0",2-LEN(A29))&amp;A29,INDIRECT(主約費率表),6,FALSE)*$B$3))</f>
        <v>0</v>
      </c>
      <c r="C29" s="150">
        <f t="shared" si="0"/>
        <v>0</v>
      </c>
      <c r="D29" s="150">
        <f t="shared" si="1"/>
        <v>0</v>
      </c>
      <c r="E29" s="150">
        <f t="shared" si="2"/>
        <v>0</v>
      </c>
      <c r="F29" s="150">
        <f t="shared" si="3"/>
        <v>0</v>
      </c>
      <c r="G29" s="151">
        <f t="shared" si="4"/>
        <v>0</v>
      </c>
      <c r="H29" s="151" cm="1">
        <f t="array" ref="H29">IF(OR(A29="",$H$3=0),0,IF(ISERROR($H$3),0,ROUND(INDEX(MT_NP,1,職業等級)+(MAX(0,MT保額-3)*INDEX(MT_NP,2,職業等級)),0)))</f>
        <v>0</v>
      </c>
      <c r="I29" s="150">
        <f t="shared" si="15"/>
        <v>0</v>
      </c>
      <c r="J29" s="150">
        <f t="shared" si="5"/>
        <v>0</v>
      </c>
      <c r="K29" s="150">
        <f t="shared" si="6"/>
        <v>0</v>
      </c>
      <c r="L29" s="150"/>
      <c r="M29" s="150"/>
      <c r="N29" s="152"/>
      <c r="O29" s="146">
        <f ca="1">IF(OR(A29="",$B$3=0),0,
IF(AND(照護有術顯示判斷=2,'試算表(16歲-65歲)'!A29&gt;=20,'試算表(16歲-65歲)'!A29&lt;=29),0,
VLOOKUP("P"&amp;REPT("0",2-LEN(商品年期))&amp;商品年期&amp;"S"&amp;"2"&amp;"A"&amp;REPT("0",2-LEN(A29))&amp;A29,INDIRECT(主約費率表),6,FALSE)*$O$3))</f>
        <v>0</v>
      </c>
      <c r="P29" s="146">
        <f t="shared" si="7"/>
        <v>0</v>
      </c>
      <c r="Q29" s="146">
        <f t="shared" si="8"/>
        <v>0</v>
      </c>
      <c r="R29" s="146">
        <f t="shared" si="9"/>
        <v>0</v>
      </c>
      <c r="S29" s="146">
        <f t="shared" si="10"/>
        <v>0</v>
      </c>
      <c r="T29" s="146">
        <f t="shared" si="11"/>
        <v>0</v>
      </c>
      <c r="U29" s="146" cm="1">
        <f t="array" ref="U29">IF(OR(A29="",$U$3=0),0,IF(ISERROR($U$3),0,ROUND(INDEX(MT_NP,1,職業等級)+(MAX(0,MT保額-3)*INDEX(MT_NP,2,職業等級)),0)))</f>
        <v>0</v>
      </c>
      <c r="V29" s="146">
        <f t="shared" si="12"/>
        <v>0</v>
      </c>
      <c r="W29" s="146">
        <f t="shared" si="13"/>
        <v>0</v>
      </c>
      <c r="X29" s="146">
        <f t="shared" si="14"/>
        <v>0</v>
      </c>
      <c r="Y29" s="146"/>
      <c r="Z29" s="146"/>
      <c r="AA29" s="153"/>
    </row>
    <row r="30" spans="1:27">
      <c r="A30" s="149" t="str">
        <f t="shared" si="16"/>
        <v/>
      </c>
      <c r="B30" s="150">
        <f ca="1">IF(OR(A30="",$B$3=0),0,
IF(AND(照護有術顯示判斷=2,'試算表(16歲-65歲)'!A30&gt;=20,'試算表(16歲-65歲)'!A30&lt;=29),0,
VLOOKUP("P"&amp;REPT("0",2-LEN(商品年期))&amp;商品年期&amp;"S"&amp;"1"&amp;"A"&amp;REPT("0",2-LEN(A30))&amp;A30,INDIRECT(主約費率表),6,FALSE)*$B$3))</f>
        <v>0</v>
      </c>
      <c r="C30" s="150">
        <f t="shared" si="0"/>
        <v>0</v>
      </c>
      <c r="D30" s="150">
        <f t="shared" si="1"/>
        <v>0</v>
      </c>
      <c r="E30" s="150">
        <f t="shared" si="2"/>
        <v>0</v>
      </c>
      <c r="F30" s="150">
        <f t="shared" si="3"/>
        <v>0</v>
      </c>
      <c r="G30" s="151">
        <f t="shared" si="4"/>
        <v>0</v>
      </c>
      <c r="H30" s="151" cm="1">
        <f t="array" ref="H30">IF(OR(A30="",$H$3=0),0,IF(ISERROR($H$3),0,ROUND(INDEX(MT_NP,1,職業等級)+(MAX(0,MT保額-3)*INDEX(MT_NP,2,職業等級)),0)))</f>
        <v>0</v>
      </c>
      <c r="I30" s="150">
        <f t="shared" si="15"/>
        <v>0</v>
      </c>
      <c r="J30" s="150">
        <f t="shared" si="5"/>
        <v>0</v>
      </c>
      <c r="K30" s="150">
        <f t="shared" si="6"/>
        <v>0</v>
      </c>
      <c r="L30" s="150"/>
      <c r="M30" s="150"/>
      <c r="N30" s="152"/>
      <c r="O30" s="146">
        <f ca="1">IF(OR(A30="",$B$3=0),0,
IF(AND(照護有術顯示判斷=2,'試算表(16歲-65歲)'!A30&gt;=20,'試算表(16歲-65歲)'!A30&lt;=29),0,
VLOOKUP("P"&amp;REPT("0",2-LEN(商品年期))&amp;商品年期&amp;"S"&amp;"2"&amp;"A"&amp;REPT("0",2-LEN(A30))&amp;A30,INDIRECT(主約費率表),6,FALSE)*$O$3))</f>
        <v>0</v>
      </c>
      <c r="P30" s="146">
        <f t="shared" si="7"/>
        <v>0</v>
      </c>
      <c r="Q30" s="146">
        <f t="shared" si="8"/>
        <v>0</v>
      </c>
      <c r="R30" s="146">
        <f t="shared" si="9"/>
        <v>0</v>
      </c>
      <c r="S30" s="146">
        <f t="shared" si="10"/>
        <v>0</v>
      </c>
      <c r="T30" s="146">
        <f t="shared" si="11"/>
        <v>0</v>
      </c>
      <c r="U30" s="146" cm="1">
        <f t="array" ref="U30">IF(OR(A30="",$U$3=0),0,IF(ISERROR($U$3),0,ROUND(INDEX(MT_NP,1,職業等級)+(MAX(0,MT保額-3)*INDEX(MT_NP,2,職業等級)),0)))</f>
        <v>0</v>
      </c>
      <c r="V30" s="146">
        <f t="shared" si="12"/>
        <v>0</v>
      </c>
      <c r="W30" s="146">
        <f t="shared" si="13"/>
        <v>0</v>
      </c>
      <c r="X30" s="146">
        <f t="shared" si="14"/>
        <v>0</v>
      </c>
      <c r="Y30" s="146"/>
      <c r="Z30" s="146"/>
      <c r="AA30" s="153"/>
    </row>
    <row r="31" spans="1:27">
      <c r="A31" s="149" t="str">
        <f t="shared" si="16"/>
        <v/>
      </c>
      <c r="B31" s="150">
        <f ca="1">IF(OR(A31="",$B$3=0),0,
IF(AND(照護有術顯示判斷=2,'試算表(16歲-65歲)'!A31&gt;=20,'試算表(16歲-65歲)'!A31&lt;=29),0,
VLOOKUP("P"&amp;REPT("0",2-LEN(商品年期))&amp;商品年期&amp;"S"&amp;"1"&amp;"A"&amp;REPT("0",2-LEN(A31))&amp;A31,INDIRECT(主約費率表),6,FALSE)*$B$3))</f>
        <v>0</v>
      </c>
      <c r="C31" s="150">
        <f t="shared" si="0"/>
        <v>0</v>
      </c>
      <c r="D31" s="150">
        <f t="shared" si="1"/>
        <v>0</v>
      </c>
      <c r="E31" s="150">
        <f t="shared" si="2"/>
        <v>0</v>
      </c>
      <c r="F31" s="150">
        <f t="shared" si="3"/>
        <v>0</v>
      </c>
      <c r="G31" s="151">
        <f t="shared" si="4"/>
        <v>0</v>
      </c>
      <c r="H31" s="151" cm="1">
        <f t="array" ref="H31">IF(OR(A31="",$H$3=0),0,IF(ISERROR($H$3),0,ROUND(INDEX(MT_NP,1,職業等級)+(MAX(0,MT保額-3)*INDEX(MT_NP,2,職業等級)),0)))</f>
        <v>0</v>
      </c>
      <c r="I31" s="150">
        <f t="shared" si="15"/>
        <v>0</v>
      </c>
      <c r="J31" s="150">
        <f t="shared" si="5"/>
        <v>0</v>
      </c>
      <c r="K31" s="150">
        <f t="shared" si="6"/>
        <v>0</v>
      </c>
      <c r="L31" s="150"/>
      <c r="M31" s="150"/>
      <c r="N31" s="152"/>
      <c r="O31" s="146">
        <f ca="1">IF(OR(A31="",$B$3=0),0,
IF(AND(照護有術顯示判斷=2,'試算表(16歲-65歲)'!A31&gt;=20,'試算表(16歲-65歲)'!A31&lt;=29),0,
VLOOKUP("P"&amp;REPT("0",2-LEN(商品年期))&amp;商品年期&amp;"S"&amp;"2"&amp;"A"&amp;REPT("0",2-LEN(A31))&amp;A31,INDIRECT(主約費率表),6,FALSE)*$O$3))</f>
        <v>0</v>
      </c>
      <c r="P31" s="146">
        <f t="shared" si="7"/>
        <v>0</v>
      </c>
      <c r="Q31" s="146">
        <f t="shared" si="8"/>
        <v>0</v>
      </c>
      <c r="R31" s="146">
        <f t="shared" si="9"/>
        <v>0</v>
      </c>
      <c r="S31" s="146">
        <f t="shared" si="10"/>
        <v>0</v>
      </c>
      <c r="T31" s="146">
        <f t="shared" si="11"/>
        <v>0</v>
      </c>
      <c r="U31" s="146" cm="1">
        <f t="array" ref="U31">IF(OR(A31="",$U$3=0),0,IF(ISERROR($U$3),0,ROUND(INDEX(MT_NP,1,職業等級)+(MAX(0,MT保額-3)*INDEX(MT_NP,2,職業等級)),0)))</f>
        <v>0</v>
      </c>
      <c r="V31" s="146">
        <f t="shared" si="12"/>
        <v>0</v>
      </c>
      <c r="W31" s="146">
        <f t="shared" si="13"/>
        <v>0</v>
      </c>
      <c r="X31" s="146">
        <f t="shared" si="14"/>
        <v>0</v>
      </c>
      <c r="Y31" s="146"/>
      <c r="Z31" s="146"/>
      <c r="AA31" s="153"/>
    </row>
    <row r="32" spans="1:27">
      <c r="A32" s="149" t="str">
        <f t="shared" si="16"/>
        <v/>
      </c>
      <c r="B32" s="150">
        <f ca="1">IF(OR(A32="",$B$3=0),0,
IF(AND(照護有術顯示判斷=2,'試算表(16歲-65歲)'!A32&gt;=20,'試算表(16歲-65歲)'!A32&lt;=29),0,
VLOOKUP("P"&amp;REPT("0",2-LEN(商品年期))&amp;商品年期&amp;"S"&amp;"1"&amp;"A"&amp;REPT("0",2-LEN(A32))&amp;A32,INDIRECT(主約費率表),6,FALSE)*$B$3))</f>
        <v>0</v>
      </c>
      <c r="C32" s="150">
        <f t="shared" si="0"/>
        <v>0</v>
      </c>
      <c r="D32" s="150">
        <f t="shared" si="1"/>
        <v>0</v>
      </c>
      <c r="E32" s="150">
        <f t="shared" si="2"/>
        <v>0</v>
      </c>
      <c r="F32" s="150">
        <f t="shared" si="3"/>
        <v>0</v>
      </c>
      <c r="G32" s="151">
        <f t="shared" si="4"/>
        <v>0</v>
      </c>
      <c r="H32" s="151" cm="1">
        <f t="array" ref="H32">IF(OR(A32="",$H$3=0),0,IF(ISERROR($H$3),0,ROUND(INDEX(MT_NP,1,職業等級)+(MAX(0,MT保額-3)*INDEX(MT_NP,2,職業等級)),0)))</f>
        <v>0</v>
      </c>
      <c r="I32" s="150">
        <f t="shared" si="15"/>
        <v>0</v>
      </c>
      <c r="J32" s="150">
        <f t="shared" si="5"/>
        <v>0</v>
      </c>
      <c r="K32" s="150">
        <f t="shared" si="6"/>
        <v>0</v>
      </c>
      <c r="L32" s="150"/>
      <c r="M32" s="150"/>
      <c r="N32" s="152"/>
      <c r="O32" s="146">
        <f ca="1">IF(OR(A32="",$B$3=0),0,
IF(AND(照護有術顯示判斷=2,'試算表(16歲-65歲)'!A32&gt;=20,'試算表(16歲-65歲)'!A32&lt;=29),0,
VLOOKUP("P"&amp;REPT("0",2-LEN(商品年期))&amp;商品年期&amp;"S"&amp;"2"&amp;"A"&amp;REPT("0",2-LEN(A32))&amp;A32,INDIRECT(主約費率表),6,FALSE)*$O$3))</f>
        <v>0</v>
      </c>
      <c r="P32" s="146">
        <f t="shared" si="7"/>
        <v>0</v>
      </c>
      <c r="Q32" s="146">
        <f t="shared" si="8"/>
        <v>0</v>
      </c>
      <c r="R32" s="146">
        <f t="shared" si="9"/>
        <v>0</v>
      </c>
      <c r="S32" s="146">
        <f t="shared" si="10"/>
        <v>0</v>
      </c>
      <c r="T32" s="146">
        <f t="shared" si="11"/>
        <v>0</v>
      </c>
      <c r="U32" s="146" cm="1">
        <f t="array" ref="U32">IF(OR(A32="",$U$3=0),0,IF(ISERROR($U$3),0,ROUND(INDEX(MT_NP,1,職業等級)+(MAX(0,MT保額-3)*INDEX(MT_NP,2,職業等級)),0)))</f>
        <v>0</v>
      </c>
      <c r="V32" s="146">
        <f t="shared" si="12"/>
        <v>0</v>
      </c>
      <c r="W32" s="146">
        <f t="shared" si="13"/>
        <v>0</v>
      </c>
      <c r="X32" s="146">
        <f t="shared" si="14"/>
        <v>0</v>
      </c>
      <c r="Y32" s="146"/>
      <c r="Z32" s="146"/>
      <c r="AA32" s="153"/>
    </row>
    <row r="33" spans="1:27">
      <c r="A33" s="149" t="str">
        <f t="shared" si="16"/>
        <v/>
      </c>
      <c r="B33" s="150">
        <f ca="1">IF(OR(A33="",$B$3=0),0,
IF(AND(照護有術顯示判斷=2,'試算表(16歲-65歲)'!A33&gt;=20,'試算表(16歲-65歲)'!A33&lt;=29),0,
VLOOKUP("P"&amp;REPT("0",2-LEN(商品年期))&amp;商品年期&amp;"S"&amp;"1"&amp;"A"&amp;REPT("0",2-LEN(A33))&amp;A33,INDIRECT(主約費率表),6,FALSE)*$B$3))</f>
        <v>0</v>
      </c>
      <c r="C33" s="150">
        <f t="shared" si="0"/>
        <v>0</v>
      </c>
      <c r="D33" s="150">
        <f t="shared" si="1"/>
        <v>0</v>
      </c>
      <c r="E33" s="150">
        <f t="shared" si="2"/>
        <v>0</v>
      </c>
      <c r="F33" s="150">
        <f t="shared" si="3"/>
        <v>0</v>
      </c>
      <c r="G33" s="151">
        <f t="shared" si="4"/>
        <v>0</v>
      </c>
      <c r="H33" s="151" cm="1">
        <f t="array" ref="H33">IF(OR(A33="",$H$3=0),0,IF(ISERROR($H$3),0,ROUND(INDEX(MT_NP,1,職業等級)+(MAX(0,MT保額-3)*INDEX(MT_NP,2,職業等級)),0)))</f>
        <v>0</v>
      </c>
      <c r="I33" s="150">
        <f t="shared" si="15"/>
        <v>0</v>
      </c>
      <c r="J33" s="150">
        <f t="shared" si="5"/>
        <v>0</v>
      </c>
      <c r="K33" s="150">
        <f t="shared" si="6"/>
        <v>0</v>
      </c>
      <c r="L33" s="150"/>
      <c r="M33" s="150"/>
      <c r="N33" s="152"/>
      <c r="O33" s="146">
        <f ca="1">IF(OR(A33="",$B$3=0),0,
IF(AND(照護有術顯示判斷=2,'試算表(16歲-65歲)'!A33&gt;=20,'試算表(16歲-65歲)'!A33&lt;=29),0,
VLOOKUP("P"&amp;REPT("0",2-LEN(商品年期))&amp;商品年期&amp;"S"&amp;"2"&amp;"A"&amp;REPT("0",2-LEN(A33))&amp;A33,INDIRECT(主約費率表),6,FALSE)*$O$3))</f>
        <v>0</v>
      </c>
      <c r="P33" s="146">
        <f t="shared" si="7"/>
        <v>0</v>
      </c>
      <c r="Q33" s="146">
        <f t="shared" si="8"/>
        <v>0</v>
      </c>
      <c r="R33" s="146">
        <f t="shared" si="9"/>
        <v>0</v>
      </c>
      <c r="S33" s="146">
        <f t="shared" si="10"/>
        <v>0</v>
      </c>
      <c r="T33" s="146">
        <f t="shared" si="11"/>
        <v>0</v>
      </c>
      <c r="U33" s="146" cm="1">
        <f t="array" ref="U33">IF(OR(A33="",$U$3=0),0,IF(ISERROR($U$3),0,ROUND(INDEX(MT_NP,1,職業等級)+(MAX(0,MT保額-3)*INDEX(MT_NP,2,職業等級)),0)))</f>
        <v>0</v>
      </c>
      <c r="V33" s="146">
        <f t="shared" si="12"/>
        <v>0</v>
      </c>
      <c r="W33" s="146">
        <f t="shared" si="13"/>
        <v>0</v>
      </c>
      <c r="X33" s="146">
        <f t="shared" si="14"/>
        <v>0</v>
      </c>
      <c r="Y33" s="146"/>
      <c r="Z33" s="146"/>
      <c r="AA33" s="153"/>
    </row>
    <row r="34" spans="1:27">
      <c r="A34" s="149" t="str">
        <f t="shared" si="16"/>
        <v/>
      </c>
      <c r="B34" s="150">
        <f ca="1">IF(OR(A34="",$B$3=0),0,
IF(AND(照護有術顯示判斷=2,'試算表(16歲-65歲)'!A34&gt;=20,'試算表(16歲-65歲)'!A34&lt;=29),0,
VLOOKUP("P"&amp;REPT("0",2-LEN(商品年期))&amp;商品年期&amp;"S"&amp;"1"&amp;"A"&amp;REPT("0",2-LEN(A34))&amp;A34,INDIRECT(主約費率表),6,FALSE)*$B$3))</f>
        <v>0</v>
      </c>
      <c r="C34" s="150">
        <f t="shared" si="0"/>
        <v>0</v>
      </c>
      <c r="D34" s="150">
        <f t="shared" si="1"/>
        <v>0</v>
      </c>
      <c r="E34" s="150">
        <f t="shared" si="2"/>
        <v>0</v>
      </c>
      <c r="F34" s="150">
        <f t="shared" si="3"/>
        <v>0</v>
      </c>
      <c r="G34" s="151">
        <f t="shared" si="4"/>
        <v>0</v>
      </c>
      <c r="H34" s="151" cm="1">
        <f t="array" ref="H34">IF(OR(A34="",$H$3=0),0,IF(ISERROR($H$3),0,ROUND(INDEX(MT_NP,1,職業等級)+(MAX(0,MT保額-3)*INDEX(MT_NP,2,職業等級)),0)))</f>
        <v>0</v>
      </c>
      <c r="I34" s="150">
        <f t="shared" si="15"/>
        <v>0</v>
      </c>
      <c r="J34" s="150">
        <f t="shared" si="5"/>
        <v>0</v>
      </c>
      <c r="K34" s="150">
        <f t="shared" si="6"/>
        <v>0</v>
      </c>
      <c r="L34" s="150"/>
      <c r="M34" s="150"/>
      <c r="N34" s="152"/>
      <c r="O34" s="146">
        <f ca="1">IF(OR(A34="",$B$3=0),0,
IF(AND(照護有術顯示判斷=2,'試算表(16歲-65歲)'!A34&gt;=20,'試算表(16歲-65歲)'!A34&lt;=29),0,
VLOOKUP("P"&amp;REPT("0",2-LEN(商品年期))&amp;商品年期&amp;"S"&amp;"2"&amp;"A"&amp;REPT("0",2-LEN(A34))&amp;A34,INDIRECT(主約費率表),6,FALSE)*$O$3))</f>
        <v>0</v>
      </c>
      <c r="P34" s="146">
        <f t="shared" si="7"/>
        <v>0</v>
      </c>
      <c r="Q34" s="146">
        <f t="shared" si="8"/>
        <v>0</v>
      </c>
      <c r="R34" s="146">
        <f t="shared" si="9"/>
        <v>0</v>
      </c>
      <c r="S34" s="146">
        <f t="shared" si="10"/>
        <v>0</v>
      </c>
      <c r="T34" s="146">
        <f t="shared" si="11"/>
        <v>0</v>
      </c>
      <c r="U34" s="146" cm="1">
        <f t="array" ref="U34">IF(OR(A34="",$U$3=0),0,IF(ISERROR($U$3),0,ROUND(INDEX(MT_NP,1,職業等級)+(MAX(0,MT保額-3)*INDEX(MT_NP,2,職業等級)),0)))</f>
        <v>0</v>
      </c>
      <c r="V34" s="146">
        <f t="shared" si="12"/>
        <v>0</v>
      </c>
      <c r="W34" s="146">
        <f t="shared" si="13"/>
        <v>0</v>
      </c>
      <c r="X34" s="146">
        <f t="shared" si="14"/>
        <v>0</v>
      </c>
      <c r="Y34" s="146"/>
      <c r="Z34" s="146"/>
      <c r="AA34" s="153"/>
    </row>
    <row r="35" spans="1:27">
      <c r="A35" s="149" t="str">
        <f t="shared" si="16"/>
        <v/>
      </c>
      <c r="B35" s="150">
        <f ca="1">IF(OR(A35="",$B$3=0),0,
IF(AND(照護有術顯示判斷=2,'試算表(16歲-65歲)'!A35&gt;=20,'試算表(16歲-65歲)'!A35&lt;=29),0,
VLOOKUP("P"&amp;REPT("0",2-LEN(商品年期))&amp;商品年期&amp;"S"&amp;"1"&amp;"A"&amp;REPT("0",2-LEN(A35))&amp;A35,INDIRECT(主約費率表),6,FALSE)*$B$3))</f>
        <v>0</v>
      </c>
      <c r="C35" s="150">
        <f t="shared" si="0"/>
        <v>0</v>
      </c>
      <c r="D35" s="150">
        <f t="shared" si="1"/>
        <v>0</v>
      </c>
      <c r="E35" s="150">
        <f t="shared" si="2"/>
        <v>0</v>
      </c>
      <c r="F35" s="150">
        <f t="shared" si="3"/>
        <v>0</v>
      </c>
      <c r="G35" s="151">
        <f t="shared" si="4"/>
        <v>0</v>
      </c>
      <c r="H35" s="151" cm="1">
        <f t="array" ref="H35">IF(OR(A35="",$H$3=0),0,IF(ISERROR($H$3),0,ROUND(INDEX(MT_NP,1,職業等級)+(MAX(0,MT保額-3)*INDEX(MT_NP,2,職業等級)),0)))</f>
        <v>0</v>
      </c>
      <c r="I35" s="150">
        <f t="shared" si="15"/>
        <v>0</v>
      </c>
      <c r="J35" s="150">
        <f t="shared" si="5"/>
        <v>0</v>
      </c>
      <c r="K35" s="150">
        <f t="shared" si="6"/>
        <v>0</v>
      </c>
      <c r="L35" s="150"/>
      <c r="M35" s="150"/>
      <c r="N35" s="152"/>
      <c r="O35" s="146">
        <f ca="1">IF(OR(A35="",$B$3=0),0,
IF(AND(照護有術顯示判斷=2,'試算表(16歲-65歲)'!A35&gt;=20,'試算表(16歲-65歲)'!A35&lt;=29),0,
VLOOKUP("P"&amp;REPT("0",2-LEN(商品年期))&amp;商品年期&amp;"S"&amp;"2"&amp;"A"&amp;REPT("0",2-LEN(A35))&amp;A35,INDIRECT(主約費率表),6,FALSE)*$O$3))</f>
        <v>0</v>
      </c>
      <c r="P35" s="146">
        <f t="shared" si="7"/>
        <v>0</v>
      </c>
      <c r="Q35" s="146">
        <f t="shared" si="8"/>
        <v>0</v>
      </c>
      <c r="R35" s="146">
        <f t="shared" si="9"/>
        <v>0</v>
      </c>
      <c r="S35" s="146">
        <f t="shared" si="10"/>
        <v>0</v>
      </c>
      <c r="T35" s="146">
        <f t="shared" si="11"/>
        <v>0</v>
      </c>
      <c r="U35" s="146" cm="1">
        <f t="array" ref="U35">IF(OR(A35="",$U$3=0),0,IF(ISERROR($U$3),0,ROUND(INDEX(MT_NP,1,職業等級)+(MAX(0,MT保額-3)*INDEX(MT_NP,2,職業等級)),0)))</f>
        <v>0</v>
      </c>
      <c r="V35" s="146">
        <f t="shared" si="12"/>
        <v>0</v>
      </c>
      <c r="W35" s="146">
        <f t="shared" si="13"/>
        <v>0</v>
      </c>
      <c r="X35" s="146">
        <f t="shared" si="14"/>
        <v>0</v>
      </c>
      <c r="Y35" s="146"/>
      <c r="Z35" s="146"/>
      <c r="AA35" s="153"/>
    </row>
    <row r="36" spans="1:27">
      <c r="A36" s="149" t="str">
        <f t="shared" si="16"/>
        <v/>
      </c>
      <c r="B36" s="150">
        <f ca="1">IF(OR(A36="",$B$3=0),0,
IF(AND(照護有術顯示判斷=2,'試算表(16歲-65歲)'!A36&gt;=20,'試算表(16歲-65歲)'!A36&lt;=29),0,
VLOOKUP("P"&amp;REPT("0",2-LEN(商品年期))&amp;商品年期&amp;"S"&amp;"1"&amp;"A"&amp;REPT("0",2-LEN(A36))&amp;A36,INDIRECT(主約費率表),6,FALSE)*$B$3))</f>
        <v>0</v>
      </c>
      <c r="C36" s="150">
        <f t="shared" si="0"/>
        <v>0</v>
      </c>
      <c r="D36" s="150">
        <f t="shared" si="1"/>
        <v>0</v>
      </c>
      <c r="E36" s="150">
        <f t="shared" si="2"/>
        <v>0</v>
      </c>
      <c r="F36" s="150">
        <f t="shared" si="3"/>
        <v>0</v>
      </c>
      <c r="G36" s="151">
        <f t="shared" si="4"/>
        <v>0</v>
      </c>
      <c r="H36" s="151" cm="1">
        <f t="array" ref="H36">IF(OR(A36="",$H$3=0),0,IF(ISERROR($H$3),0,ROUND(INDEX(MT_NP,1,職業等級)+(MAX(0,MT保額-3)*INDEX(MT_NP,2,職業等級)),0)))</f>
        <v>0</v>
      </c>
      <c r="I36" s="150">
        <f t="shared" si="15"/>
        <v>0</v>
      </c>
      <c r="J36" s="150">
        <f t="shared" si="5"/>
        <v>0</v>
      </c>
      <c r="K36" s="150">
        <f t="shared" ref="K36:K67" si="17">IF(OR(A36="",$K$3=0),0,IF(ISERROR($K$3),0,ROUND($K$3*VLOOKUP("P01"&amp;"S"&amp;"1"&amp;"A"&amp;REPT("0",2-LEN(A36))&amp;A36,ACCNTR3_NP,5,FALSE),0)))</f>
        <v>0</v>
      </c>
      <c r="L36" s="150"/>
      <c r="M36" s="150"/>
      <c r="N36" s="152"/>
      <c r="O36" s="146">
        <f ca="1">IF(OR(A36="",$B$3=0),0,
IF(AND(照護有術顯示判斷=2,'試算表(16歲-65歲)'!A36&gt;=20,'試算表(16歲-65歲)'!A36&lt;=29),0,
VLOOKUP("P"&amp;REPT("0",2-LEN(商品年期))&amp;商品年期&amp;"S"&amp;"2"&amp;"A"&amp;REPT("0",2-LEN(A36))&amp;A36,INDIRECT(主約費率表),6,FALSE)*$O$3))</f>
        <v>0</v>
      </c>
      <c r="P36" s="146">
        <f t="shared" si="7"/>
        <v>0</v>
      </c>
      <c r="Q36" s="146">
        <f t="shared" si="8"/>
        <v>0</v>
      </c>
      <c r="R36" s="146">
        <f t="shared" si="9"/>
        <v>0</v>
      </c>
      <c r="S36" s="146">
        <f t="shared" si="10"/>
        <v>0</v>
      </c>
      <c r="T36" s="146">
        <f t="shared" si="11"/>
        <v>0</v>
      </c>
      <c r="U36" s="146" cm="1">
        <f t="array" ref="U36">IF(OR(A36="",$U$3=0),0,IF(ISERROR($U$3),0,ROUND(INDEX(MT_NP,1,職業等級)+(MAX(0,MT保額-3)*INDEX(MT_NP,2,職業等級)),0)))</f>
        <v>0</v>
      </c>
      <c r="V36" s="146">
        <f t="shared" si="12"/>
        <v>0</v>
      </c>
      <c r="W36" s="146">
        <f t="shared" si="13"/>
        <v>0</v>
      </c>
      <c r="X36" s="146">
        <f t="shared" ref="X36:X67" si="18">IF(OR(A36="",$X$3=0),0,IF(ISERROR($X$3),0,ROUND($X$3*VLOOKUP("P01"&amp;"S"&amp;"2"&amp;"A"&amp;REPT("0",2-LEN(A36))&amp;A36,ACCNTR3_NP,5,FALSE),0)))</f>
        <v>0</v>
      </c>
      <c r="Y36" s="146"/>
      <c r="Z36" s="146"/>
      <c r="AA36" s="153"/>
    </row>
    <row r="37" spans="1:27">
      <c r="A37" s="149" t="str">
        <f t="shared" si="16"/>
        <v/>
      </c>
      <c r="B37" s="150">
        <f ca="1">IF(OR(A37="",$B$3=0),0,
IF(AND(照護有術顯示判斷=2,'試算表(16歲-65歲)'!A37&gt;=20,'試算表(16歲-65歲)'!A37&lt;=29),0,
VLOOKUP("P"&amp;REPT("0",2-LEN(商品年期))&amp;商品年期&amp;"S"&amp;"1"&amp;"A"&amp;REPT("0",2-LEN(A37))&amp;A37,INDIRECT(主約費率表),6,FALSE)*$B$3))</f>
        <v>0</v>
      </c>
      <c r="C37" s="150">
        <f t="shared" si="0"/>
        <v>0</v>
      </c>
      <c r="D37" s="150">
        <f t="shared" si="1"/>
        <v>0</v>
      </c>
      <c r="E37" s="150">
        <f t="shared" si="2"/>
        <v>0</v>
      </c>
      <c r="F37" s="150">
        <f t="shared" si="3"/>
        <v>0</v>
      </c>
      <c r="G37" s="151">
        <f t="shared" si="4"/>
        <v>0</v>
      </c>
      <c r="H37" s="151" cm="1">
        <f t="array" ref="H37">IF(OR(A37="",$H$3=0),0,IF(ISERROR($H$3),0,ROUND(INDEX(MT_NP,1,職業等級)+(MAX(0,MT保額-3)*INDEX(MT_NP,2,職業等級)),0)))</f>
        <v>0</v>
      </c>
      <c r="I37" s="150">
        <f t="shared" si="15"/>
        <v>0</v>
      </c>
      <c r="J37" s="150">
        <f t="shared" si="5"/>
        <v>0</v>
      </c>
      <c r="K37" s="150">
        <f t="shared" si="17"/>
        <v>0</v>
      </c>
      <c r="L37" s="150"/>
      <c r="M37" s="150"/>
      <c r="N37" s="152"/>
      <c r="O37" s="146">
        <f ca="1">IF(OR(A37="",$B$3=0),0,
IF(AND(照護有術顯示判斷=2,'試算表(16歲-65歲)'!A37&gt;=20,'試算表(16歲-65歲)'!A37&lt;=29),0,
VLOOKUP("P"&amp;REPT("0",2-LEN(商品年期))&amp;商品年期&amp;"S"&amp;"2"&amp;"A"&amp;REPT("0",2-LEN(A37))&amp;A37,INDIRECT(主約費率表),6,FALSE)*$O$3))</f>
        <v>0</v>
      </c>
      <c r="P37" s="146">
        <f t="shared" si="7"/>
        <v>0</v>
      </c>
      <c r="Q37" s="146">
        <f t="shared" si="8"/>
        <v>0</v>
      </c>
      <c r="R37" s="146">
        <f t="shared" si="9"/>
        <v>0</v>
      </c>
      <c r="S37" s="146">
        <f t="shared" si="10"/>
        <v>0</v>
      </c>
      <c r="T37" s="146">
        <f t="shared" si="11"/>
        <v>0</v>
      </c>
      <c r="U37" s="146" cm="1">
        <f t="array" ref="U37">IF(OR(A37="",$U$3=0),0,IF(ISERROR($U$3),0,ROUND(INDEX(MT_NP,1,職業等級)+(MAX(0,MT保額-3)*INDEX(MT_NP,2,職業等級)),0)))</f>
        <v>0</v>
      </c>
      <c r="V37" s="146">
        <f t="shared" si="12"/>
        <v>0</v>
      </c>
      <c r="W37" s="146">
        <f t="shared" si="13"/>
        <v>0</v>
      </c>
      <c r="X37" s="146">
        <f t="shared" si="18"/>
        <v>0</v>
      </c>
      <c r="Y37" s="146"/>
      <c r="Z37" s="146"/>
      <c r="AA37" s="153"/>
    </row>
    <row r="38" spans="1:27">
      <c r="A38" s="149" t="str">
        <f t="shared" si="16"/>
        <v/>
      </c>
      <c r="B38" s="150">
        <f ca="1">IF(OR(A38="",$B$3=0),0,
IF(AND(照護有術顯示判斷=2,'試算表(16歲-65歲)'!A38&gt;=20,'試算表(16歲-65歲)'!A38&lt;=29),0,
VLOOKUP("P"&amp;REPT("0",2-LEN(商品年期))&amp;商品年期&amp;"S"&amp;"1"&amp;"A"&amp;REPT("0",2-LEN(A38))&amp;A38,INDIRECT(主約費率表),6,FALSE)*$B$3))</f>
        <v>0</v>
      </c>
      <c r="C38" s="150">
        <f t="shared" si="0"/>
        <v>0</v>
      </c>
      <c r="D38" s="150">
        <f t="shared" si="1"/>
        <v>0</v>
      </c>
      <c r="E38" s="150">
        <f t="shared" si="2"/>
        <v>0</v>
      </c>
      <c r="F38" s="150">
        <f t="shared" si="3"/>
        <v>0</v>
      </c>
      <c r="G38" s="151">
        <f t="shared" si="4"/>
        <v>0</v>
      </c>
      <c r="H38" s="151" cm="1">
        <f t="array" ref="H38">IF(OR(A38="",$H$3=0),0,IF(ISERROR($H$3),0,ROUND(INDEX(MT_NP,1,職業等級)+(MAX(0,MT保額-3)*INDEX(MT_NP,2,職業等級)),0)))</f>
        <v>0</v>
      </c>
      <c r="I38" s="150">
        <f t="shared" si="15"/>
        <v>0</v>
      </c>
      <c r="J38" s="150">
        <f t="shared" si="5"/>
        <v>0</v>
      </c>
      <c r="K38" s="150">
        <f t="shared" si="17"/>
        <v>0</v>
      </c>
      <c r="L38" s="150"/>
      <c r="M38" s="150"/>
      <c r="N38" s="152"/>
      <c r="O38" s="146">
        <f ca="1">IF(OR(A38="",$B$3=0),0,
IF(AND(照護有術顯示判斷=2,'試算表(16歲-65歲)'!A38&gt;=20,'試算表(16歲-65歲)'!A38&lt;=29),0,
VLOOKUP("P"&amp;REPT("0",2-LEN(商品年期))&amp;商品年期&amp;"S"&amp;"2"&amp;"A"&amp;REPT("0",2-LEN(A38))&amp;A38,INDIRECT(主約費率表),6,FALSE)*$O$3))</f>
        <v>0</v>
      </c>
      <c r="P38" s="146">
        <f t="shared" si="7"/>
        <v>0</v>
      </c>
      <c r="Q38" s="146">
        <f t="shared" si="8"/>
        <v>0</v>
      </c>
      <c r="R38" s="146">
        <f t="shared" si="9"/>
        <v>0</v>
      </c>
      <c r="S38" s="146">
        <f t="shared" si="10"/>
        <v>0</v>
      </c>
      <c r="T38" s="146">
        <f t="shared" si="11"/>
        <v>0</v>
      </c>
      <c r="U38" s="146" cm="1">
        <f t="array" ref="U38">IF(OR(A38="",$U$3=0),0,IF(ISERROR($U$3),0,ROUND(INDEX(MT_NP,1,職業等級)+(MAX(0,MT保額-3)*INDEX(MT_NP,2,職業等級)),0)))</f>
        <v>0</v>
      </c>
      <c r="V38" s="146">
        <f t="shared" si="12"/>
        <v>0</v>
      </c>
      <c r="W38" s="146">
        <f t="shared" si="13"/>
        <v>0</v>
      </c>
      <c r="X38" s="146">
        <f t="shared" si="18"/>
        <v>0</v>
      </c>
      <c r="Y38" s="146"/>
      <c r="Z38" s="146"/>
      <c r="AA38" s="153"/>
    </row>
    <row r="39" spans="1:27">
      <c r="A39" s="149" t="str">
        <f t="shared" si="16"/>
        <v/>
      </c>
      <c r="B39" s="150">
        <f ca="1">IF(OR(A39="",$B$3=0),0,
IF(AND(照護有術顯示判斷=2,'試算表(16歲-65歲)'!A39&gt;=20,'試算表(16歲-65歲)'!A39&lt;=29),0,
VLOOKUP("P"&amp;REPT("0",2-LEN(商品年期))&amp;商品年期&amp;"S"&amp;"1"&amp;"A"&amp;REPT("0",2-LEN(A39))&amp;A39,INDIRECT(主約費率表),6,FALSE)*$B$3))</f>
        <v>0</v>
      </c>
      <c r="C39" s="150">
        <f t="shared" si="0"/>
        <v>0</v>
      </c>
      <c r="D39" s="150">
        <f t="shared" si="1"/>
        <v>0</v>
      </c>
      <c r="E39" s="150">
        <f t="shared" si="2"/>
        <v>0</v>
      </c>
      <c r="F39" s="150">
        <f t="shared" si="3"/>
        <v>0</v>
      </c>
      <c r="G39" s="151">
        <f t="shared" si="4"/>
        <v>0</v>
      </c>
      <c r="H39" s="151" cm="1">
        <f t="array" ref="H39">IF(OR(A39="",$H$3=0),0,IF(ISERROR($H$3),0,ROUND(INDEX(MT_NP,1,職業等級)+(MAX(0,MT保額-3)*INDEX(MT_NP,2,職業等級)),0)))</f>
        <v>0</v>
      </c>
      <c r="I39" s="150">
        <f t="shared" si="15"/>
        <v>0</v>
      </c>
      <c r="J39" s="150">
        <f t="shared" si="5"/>
        <v>0</v>
      </c>
      <c r="K39" s="150">
        <f t="shared" si="17"/>
        <v>0</v>
      </c>
      <c r="L39" s="150"/>
      <c r="M39" s="150"/>
      <c r="N39" s="152"/>
      <c r="O39" s="146">
        <f ca="1">IF(OR(A39="",$B$3=0),0,
IF(AND(照護有術顯示判斷=2,'試算表(16歲-65歲)'!A39&gt;=20,'試算表(16歲-65歲)'!A39&lt;=29),0,
VLOOKUP("P"&amp;REPT("0",2-LEN(商品年期))&amp;商品年期&amp;"S"&amp;"2"&amp;"A"&amp;REPT("0",2-LEN(A39))&amp;A39,INDIRECT(主約費率表),6,FALSE)*$O$3))</f>
        <v>0</v>
      </c>
      <c r="P39" s="146">
        <f t="shared" si="7"/>
        <v>0</v>
      </c>
      <c r="Q39" s="146">
        <f t="shared" si="8"/>
        <v>0</v>
      </c>
      <c r="R39" s="146">
        <f t="shared" si="9"/>
        <v>0</v>
      </c>
      <c r="S39" s="146">
        <f t="shared" si="10"/>
        <v>0</v>
      </c>
      <c r="T39" s="146">
        <f t="shared" si="11"/>
        <v>0</v>
      </c>
      <c r="U39" s="146" cm="1">
        <f t="array" ref="U39">IF(OR(A39="",$U$3=0),0,IF(ISERROR($U$3),0,ROUND(INDEX(MT_NP,1,職業等級)+(MAX(0,MT保額-3)*INDEX(MT_NP,2,職業等級)),0)))</f>
        <v>0</v>
      </c>
      <c r="V39" s="146">
        <f t="shared" si="12"/>
        <v>0</v>
      </c>
      <c r="W39" s="146">
        <f t="shared" si="13"/>
        <v>0</v>
      </c>
      <c r="X39" s="146">
        <f t="shared" si="18"/>
        <v>0</v>
      </c>
      <c r="Y39" s="146"/>
      <c r="Z39" s="146"/>
      <c r="AA39" s="153"/>
    </row>
    <row r="40" spans="1:27">
      <c r="A40" s="149" t="str">
        <f t="shared" si="16"/>
        <v/>
      </c>
      <c r="B40" s="150">
        <f ca="1">IF(OR(A40="",$B$3=0),0,
IF(AND(照護有術顯示判斷=2,'試算表(16歲-65歲)'!A40&gt;=20,'試算表(16歲-65歲)'!A40&lt;=29),0,
VLOOKUP("P"&amp;REPT("0",2-LEN(商品年期))&amp;商品年期&amp;"S"&amp;"1"&amp;"A"&amp;REPT("0",2-LEN(A40))&amp;A40,INDIRECT(主約費率表),6,FALSE)*$B$3))</f>
        <v>0</v>
      </c>
      <c r="C40" s="150">
        <f t="shared" si="0"/>
        <v>0</v>
      </c>
      <c r="D40" s="150">
        <f t="shared" si="1"/>
        <v>0</v>
      </c>
      <c r="E40" s="150">
        <f t="shared" si="2"/>
        <v>0</v>
      </c>
      <c r="F40" s="150">
        <f t="shared" si="3"/>
        <v>0</v>
      </c>
      <c r="G40" s="151">
        <f t="shared" si="4"/>
        <v>0</v>
      </c>
      <c r="H40" s="151" cm="1">
        <f t="array" ref="H40">IF(OR(A40="",$H$3=0),0,IF(ISERROR($H$3),0,ROUND(INDEX(MT_NP,1,職業等級)+(MAX(0,MT保額-3)*INDEX(MT_NP,2,職業等級)),0)))</f>
        <v>0</v>
      </c>
      <c r="I40" s="150">
        <f t="shared" si="15"/>
        <v>0</v>
      </c>
      <c r="J40" s="150">
        <f t="shared" si="5"/>
        <v>0</v>
      </c>
      <c r="K40" s="150">
        <f t="shared" si="17"/>
        <v>0</v>
      </c>
      <c r="L40" s="150"/>
      <c r="M40" s="150"/>
      <c r="N40" s="152"/>
      <c r="O40" s="146">
        <f ca="1">IF(OR(A40="",$B$3=0),0,
IF(AND(照護有術顯示判斷=2,'試算表(16歲-65歲)'!A40&gt;=20,'試算表(16歲-65歲)'!A40&lt;=29),0,
VLOOKUP("P"&amp;REPT("0",2-LEN(商品年期))&amp;商品年期&amp;"S"&amp;"2"&amp;"A"&amp;REPT("0",2-LEN(A40))&amp;A40,INDIRECT(主約費率表),6,FALSE)*$O$3))</f>
        <v>0</v>
      </c>
      <c r="P40" s="146">
        <f t="shared" si="7"/>
        <v>0</v>
      </c>
      <c r="Q40" s="146">
        <f t="shared" si="8"/>
        <v>0</v>
      </c>
      <c r="R40" s="146">
        <f t="shared" si="9"/>
        <v>0</v>
      </c>
      <c r="S40" s="146">
        <f t="shared" si="10"/>
        <v>0</v>
      </c>
      <c r="T40" s="146">
        <f t="shared" si="11"/>
        <v>0</v>
      </c>
      <c r="U40" s="146" cm="1">
        <f t="array" ref="U40">IF(OR(A40="",$U$3=0),0,IF(ISERROR($U$3),0,ROUND(INDEX(MT_NP,1,職業等級)+(MAX(0,MT保額-3)*INDEX(MT_NP,2,職業等級)),0)))</f>
        <v>0</v>
      </c>
      <c r="V40" s="146">
        <f t="shared" si="12"/>
        <v>0</v>
      </c>
      <c r="W40" s="146">
        <f t="shared" si="13"/>
        <v>0</v>
      </c>
      <c r="X40" s="146">
        <f t="shared" si="18"/>
        <v>0</v>
      </c>
      <c r="Y40" s="146"/>
      <c r="Z40" s="146"/>
      <c r="AA40" s="153"/>
    </row>
    <row r="41" spans="1:27">
      <c r="A41" s="149" t="str">
        <f t="shared" si="16"/>
        <v/>
      </c>
      <c r="B41" s="150">
        <f ca="1">IF(OR(A41="",$B$3=0),0,
IF(AND(照護有術顯示判斷=2,'試算表(16歲-65歲)'!A41&gt;=20,'試算表(16歲-65歲)'!A41&lt;=29),0,
VLOOKUP("P"&amp;REPT("0",2-LEN(商品年期))&amp;商品年期&amp;"S"&amp;"1"&amp;"A"&amp;REPT("0",2-LEN(A41))&amp;A41,INDIRECT(主約費率表),6,FALSE)*$B$3))</f>
        <v>0</v>
      </c>
      <c r="C41" s="150">
        <f t="shared" si="0"/>
        <v>0</v>
      </c>
      <c r="D41" s="150">
        <f t="shared" si="1"/>
        <v>0</v>
      </c>
      <c r="E41" s="150">
        <f t="shared" si="2"/>
        <v>0</v>
      </c>
      <c r="F41" s="150">
        <f t="shared" si="3"/>
        <v>0</v>
      </c>
      <c r="G41" s="151">
        <f t="shared" si="4"/>
        <v>0</v>
      </c>
      <c r="H41" s="151" cm="1">
        <f t="array" ref="H41">IF(OR(A41="",$H$3=0),0,IF(ISERROR($H$3),0,ROUND(INDEX(MT_NP,1,職業等級)+(MAX(0,MT保額-3)*INDEX(MT_NP,2,職業等級)),0)))</f>
        <v>0</v>
      </c>
      <c r="I41" s="150">
        <f t="shared" si="15"/>
        <v>0</v>
      </c>
      <c r="J41" s="150">
        <f t="shared" si="5"/>
        <v>0</v>
      </c>
      <c r="K41" s="150">
        <f t="shared" si="17"/>
        <v>0</v>
      </c>
      <c r="L41" s="150"/>
      <c r="M41" s="150"/>
      <c r="N41" s="152"/>
      <c r="O41" s="146">
        <f ca="1">IF(OR(A41="",$B$3=0),0,
IF(AND(照護有術顯示判斷=2,'試算表(16歲-65歲)'!A41&gt;=20,'試算表(16歲-65歲)'!A41&lt;=29),0,
VLOOKUP("P"&amp;REPT("0",2-LEN(商品年期))&amp;商品年期&amp;"S"&amp;"2"&amp;"A"&amp;REPT("0",2-LEN(A41))&amp;A41,INDIRECT(主約費率表),6,FALSE)*$O$3))</f>
        <v>0</v>
      </c>
      <c r="P41" s="146">
        <f t="shared" si="7"/>
        <v>0</v>
      </c>
      <c r="Q41" s="146">
        <f t="shared" si="8"/>
        <v>0</v>
      </c>
      <c r="R41" s="146">
        <f t="shared" si="9"/>
        <v>0</v>
      </c>
      <c r="S41" s="146">
        <f t="shared" si="10"/>
        <v>0</v>
      </c>
      <c r="T41" s="146">
        <f t="shared" si="11"/>
        <v>0</v>
      </c>
      <c r="U41" s="146" cm="1">
        <f t="array" ref="U41">IF(OR(A41="",$U$3=0),0,IF(ISERROR($U$3),0,ROUND(INDEX(MT_NP,1,職業等級)+(MAX(0,MT保額-3)*INDEX(MT_NP,2,職業等級)),0)))</f>
        <v>0</v>
      </c>
      <c r="V41" s="146">
        <f t="shared" si="12"/>
        <v>0</v>
      </c>
      <c r="W41" s="146">
        <f t="shared" si="13"/>
        <v>0</v>
      </c>
      <c r="X41" s="146">
        <f t="shared" si="18"/>
        <v>0</v>
      </c>
      <c r="Y41" s="146"/>
      <c r="Z41" s="146"/>
      <c r="AA41" s="153"/>
    </row>
    <row r="42" spans="1:27">
      <c r="A42" s="149" t="str">
        <f t="shared" si="16"/>
        <v/>
      </c>
      <c r="B42" s="150">
        <f ca="1">IF(OR(A42="",$B$3=0),0,
IF(AND(照護有術顯示判斷=2,'試算表(16歲-65歲)'!A42&gt;=20,'試算表(16歲-65歲)'!A42&lt;=29),0,
VLOOKUP("P"&amp;REPT("0",2-LEN(商品年期))&amp;商品年期&amp;"S"&amp;"1"&amp;"A"&amp;REPT("0",2-LEN(A42))&amp;A42,INDIRECT(主約費率表),6,FALSE)*$B$3))</f>
        <v>0</v>
      </c>
      <c r="C42" s="150">
        <f t="shared" si="0"/>
        <v>0</v>
      </c>
      <c r="D42" s="150">
        <f t="shared" si="1"/>
        <v>0</v>
      </c>
      <c r="E42" s="150">
        <f t="shared" si="2"/>
        <v>0</v>
      </c>
      <c r="F42" s="150">
        <f t="shared" si="3"/>
        <v>0</v>
      </c>
      <c r="G42" s="151">
        <f t="shared" si="4"/>
        <v>0</v>
      </c>
      <c r="H42" s="151" cm="1">
        <f t="array" ref="H42">IF(OR(A42="",$H$3=0),0,IF(ISERROR($H$3),0,ROUND(INDEX(MT_NP,1,職業等級)+(MAX(0,MT保額-3)*INDEX(MT_NP,2,職業等級)),0)))</f>
        <v>0</v>
      </c>
      <c r="I42" s="150">
        <f t="shared" si="15"/>
        <v>0</v>
      </c>
      <c r="J42" s="150">
        <f t="shared" si="5"/>
        <v>0</v>
      </c>
      <c r="K42" s="150">
        <f t="shared" si="17"/>
        <v>0</v>
      </c>
      <c r="L42" s="150"/>
      <c r="M42" s="150"/>
      <c r="N42" s="152"/>
      <c r="O42" s="146">
        <f ca="1">IF(OR(A42="",$B$3=0),0,
IF(AND(照護有術顯示判斷=2,'試算表(16歲-65歲)'!A42&gt;=20,'試算表(16歲-65歲)'!A42&lt;=29),0,
VLOOKUP("P"&amp;REPT("0",2-LEN(商品年期))&amp;商品年期&amp;"S"&amp;"2"&amp;"A"&amp;REPT("0",2-LEN(A42))&amp;A42,INDIRECT(主約費率表),6,FALSE)*$O$3))</f>
        <v>0</v>
      </c>
      <c r="P42" s="146">
        <f t="shared" si="7"/>
        <v>0</v>
      </c>
      <c r="Q42" s="146">
        <f t="shared" si="8"/>
        <v>0</v>
      </c>
      <c r="R42" s="146">
        <f t="shared" si="9"/>
        <v>0</v>
      </c>
      <c r="S42" s="146">
        <f t="shared" si="10"/>
        <v>0</v>
      </c>
      <c r="T42" s="146">
        <f t="shared" si="11"/>
        <v>0</v>
      </c>
      <c r="U42" s="146" cm="1">
        <f t="array" ref="U42">IF(OR(A42="",$U$3=0),0,IF(ISERROR($U$3),0,ROUND(INDEX(MT_NP,1,職業等級)+(MAX(0,MT保額-3)*INDEX(MT_NP,2,職業等級)),0)))</f>
        <v>0</v>
      </c>
      <c r="V42" s="146">
        <f t="shared" si="12"/>
        <v>0</v>
      </c>
      <c r="W42" s="146">
        <f t="shared" si="13"/>
        <v>0</v>
      </c>
      <c r="X42" s="146">
        <f t="shared" si="18"/>
        <v>0</v>
      </c>
      <c r="Y42" s="146"/>
      <c r="Z42" s="146"/>
      <c r="AA42" s="153"/>
    </row>
    <row r="43" spans="1:27">
      <c r="A43" s="149" t="str">
        <f t="shared" si="16"/>
        <v/>
      </c>
      <c r="B43" s="150">
        <f ca="1">IF(OR(A43="",$B$3=0),0,
IF(AND(照護有術顯示判斷=2,'試算表(16歲-65歲)'!A43&gt;=20,'試算表(16歲-65歲)'!A43&lt;=29),0,
VLOOKUP("P"&amp;REPT("0",2-LEN(商品年期))&amp;商品年期&amp;"S"&amp;"1"&amp;"A"&amp;REPT("0",2-LEN(A43))&amp;A43,INDIRECT(主約費率表),6,FALSE)*$B$3))</f>
        <v>0</v>
      </c>
      <c r="C43" s="150">
        <f t="shared" si="0"/>
        <v>0</v>
      </c>
      <c r="D43" s="150">
        <f t="shared" si="1"/>
        <v>0</v>
      </c>
      <c r="E43" s="150">
        <f t="shared" si="2"/>
        <v>0</v>
      </c>
      <c r="F43" s="150">
        <f t="shared" si="3"/>
        <v>0</v>
      </c>
      <c r="G43" s="151">
        <f t="shared" si="4"/>
        <v>0</v>
      </c>
      <c r="H43" s="151" cm="1">
        <f t="array" ref="H43">IF(OR(A43="",$H$3=0),0,IF(ISERROR($H$3),0,ROUND(INDEX(MT_NP,1,職業等級)+(MAX(0,MT保額-3)*INDEX(MT_NP,2,職業等級)),0)))</f>
        <v>0</v>
      </c>
      <c r="I43" s="150">
        <f t="shared" si="15"/>
        <v>0</v>
      </c>
      <c r="J43" s="150">
        <f t="shared" si="5"/>
        <v>0</v>
      </c>
      <c r="K43" s="150">
        <f t="shared" si="17"/>
        <v>0</v>
      </c>
      <c r="L43" s="150"/>
      <c r="M43" s="150"/>
      <c r="N43" s="152"/>
      <c r="O43" s="146">
        <f ca="1">IF(OR(A43="",$B$3=0),0,
IF(AND(照護有術顯示判斷=2,'試算表(16歲-65歲)'!A43&gt;=20,'試算表(16歲-65歲)'!A43&lt;=29),0,
VLOOKUP("P"&amp;REPT("0",2-LEN(商品年期))&amp;商品年期&amp;"S"&amp;"2"&amp;"A"&amp;REPT("0",2-LEN(A43))&amp;A43,INDIRECT(主約費率表),6,FALSE)*$O$3))</f>
        <v>0</v>
      </c>
      <c r="P43" s="146">
        <f t="shared" si="7"/>
        <v>0</v>
      </c>
      <c r="Q43" s="146">
        <f t="shared" si="8"/>
        <v>0</v>
      </c>
      <c r="R43" s="146">
        <f t="shared" si="9"/>
        <v>0</v>
      </c>
      <c r="S43" s="146">
        <f t="shared" si="10"/>
        <v>0</v>
      </c>
      <c r="T43" s="146">
        <f t="shared" si="11"/>
        <v>0</v>
      </c>
      <c r="U43" s="146" cm="1">
        <f t="array" ref="U43">IF(OR(A43="",$U$3=0),0,IF(ISERROR($U$3),0,ROUND(INDEX(MT_NP,1,職業等級)+(MAX(0,MT保額-3)*INDEX(MT_NP,2,職業等級)),0)))</f>
        <v>0</v>
      </c>
      <c r="V43" s="146">
        <f t="shared" si="12"/>
        <v>0</v>
      </c>
      <c r="W43" s="146">
        <f t="shared" si="13"/>
        <v>0</v>
      </c>
      <c r="X43" s="146">
        <f t="shared" si="18"/>
        <v>0</v>
      </c>
      <c r="Y43" s="146"/>
      <c r="Z43" s="146"/>
      <c r="AA43" s="153"/>
    </row>
    <row r="44" spans="1:27">
      <c r="A44" s="149" t="str">
        <f t="shared" si="16"/>
        <v/>
      </c>
      <c r="B44" s="150">
        <f ca="1">IF(OR(A44="",$B$3=0),0,
IF(AND(照護有術顯示判斷=2,'試算表(16歲-65歲)'!A44&gt;=20,'試算表(16歲-65歲)'!A44&lt;=29),0,
VLOOKUP("P"&amp;REPT("0",2-LEN(商品年期))&amp;商品年期&amp;"S"&amp;"1"&amp;"A"&amp;REPT("0",2-LEN(A44))&amp;A44,INDIRECT(主約費率表),6,FALSE)*$B$3))</f>
        <v>0</v>
      </c>
      <c r="C44" s="150">
        <f t="shared" si="0"/>
        <v>0</v>
      </c>
      <c r="D44" s="150">
        <f t="shared" si="1"/>
        <v>0</v>
      </c>
      <c r="E44" s="150">
        <f t="shared" si="2"/>
        <v>0</v>
      </c>
      <c r="F44" s="150">
        <f t="shared" si="3"/>
        <v>0</v>
      </c>
      <c r="G44" s="151">
        <f t="shared" si="4"/>
        <v>0</v>
      </c>
      <c r="H44" s="151" cm="1">
        <f t="array" ref="H44">IF(OR(A44="",$H$3=0),0,IF(ISERROR($H$3),0,ROUND(INDEX(MT_NP,1,職業等級)+(MAX(0,MT保額-3)*INDEX(MT_NP,2,職業等級)),0)))</f>
        <v>0</v>
      </c>
      <c r="I44" s="150">
        <f t="shared" si="15"/>
        <v>0</v>
      </c>
      <c r="J44" s="150">
        <f t="shared" si="5"/>
        <v>0</v>
      </c>
      <c r="K44" s="150">
        <f t="shared" si="17"/>
        <v>0</v>
      </c>
      <c r="L44" s="150"/>
      <c r="M44" s="150"/>
      <c r="N44" s="152"/>
      <c r="O44" s="146">
        <f ca="1">IF(OR(A44="",$B$3=0),0,
IF(AND(照護有術顯示判斷=2,'試算表(16歲-65歲)'!A44&gt;=20,'試算表(16歲-65歲)'!A44&lt;=29),0,
VLOOKUP("P"&amp;REPT("0",2-LEN(商品年期))&amp;商品年期&amp;"S"&amp;"2"&amp;"A"&amp;REPT("0",2-LEN(A44))&amp;A44,INDIRECT(主約費率表),6,FALSE)*$O$3))</f>
        <v>0</v>
      </c>
      <c r="P44" s="146">
        <f t="shared" si="7"/>
        <v>0</v>
      </c>
      <c r="Q44" s="146">
        <f t="shared" si="8"/>
        <v>0</v>
      </c>
      <c r="R44" s="146">
        <f t="shared" si="9"/>
        <v>0</v>
      </c>
      <c r="S44" s="146">
        <f t="shared" si="10"/>
        <v>0</v>
      </c>
      <c r="T44" s="146">
        <f t="shared" si="11"/>
        <v>0</v>
      </c>
      <c r="U44" s="146" cm="1">
        <f t="array" ref="U44">IF(OR(A44="",$U$3=0),0,IF(ISERROR($U$3),0,ROUND(INDEX(MT_NP,1,職業等級)+(MAX(0,MT保額-3)*INDEX(MT_NP,2,職業等級)),0)))</f>
        <v>0</v>
      </c>
      <c r="V44" s="146">
        <f t="shared" si="12"/>
        <v>0</v>
      </c>
      <c r="W44" s="146">
        <f t="shared" si="13"/>
        <v>0</v>
      </c>
      <c r="X44" s="146">
        <f t="shared" si="18"/>
        <v>0</v>
      </c>
      <c r="Y44" s="146"/>
      <c r="Z44" s="146"/>
      <c r="AA44" s="153"/>
    </row>
    <row r="45" spans="1:27">
      <c r="A45" s="149" t="str">
        <f t="shared" si="16"/>
        <v/>
      </c>
      <c r="B45" s="150">
        <f ca="1">IF(OR(A45="",$B$3=0),0,
IF(AND(照護有術顯示判斷=2,'試算表(16歲-65歲)'!A45&gt;=20,'試算表(16歲-65歲)'!A45&lt;=29),0,
VLOOKUP("P"&amp;REPT("0",2-LEN(商品年期))&amp;商品年期&amp;"S"&amp;"1"&amp;"A"&amp;REPT("0",2-LEN(A45))&amp;A45,INDIRECT(主約費率表),6,FALSE)*$B$3))</f>
        <v>0</v>
      </c>
      <c r="C45" s="150">
        <f t="shared" si="0"/>
        <v>0</v>
      </c>
      <c r="D45" s="150">
        <f t="shared" si="1"/>
        <v>0</v>
      </c>
      <c r="E45" s="150">
        <f t="shared" si="2"/>
        <v>0</v>
      </c>
      <c r="F45" s="150">
        <f t="shared" si="3"/>
        <v>0</v>
      </c>
      <c r="G45" s="151">
        <f t="shared" si="4"/>
        <v>0</v>
      </c>
      <c r="H45" s="151" cm="1">
        <f t="array" ref="H45">IF(OR(A45="",$H$3=0),0,IF(ISERROR($H$3),0,ROUND(INDEX(MT_NP,1,職業等級)+(MAX(0,MT保額-3)*INDEX(MT_NP,2,職業等級)),0)))</f>
        <v>0</v>
      </c>
      <c r="I45" s="150">
        <f t="shared" si="15"/>
        <v>0</v>
      </c>
      <c r="J45" s="150">
        <f t="shared" si="5"/>
        <v>0</v>
      </c>
      <c r="K45" s="150">
        <f t="shared" si="17"/>
        <v>0</v>
      </c>
      <c r="L45" s="150"/>
      <c r="M45" s="150"/>
      <c r="N45" s="152"/>
      <c r="O45" s="146">
        <f ca="1">IF(OR(A45="",$B$3=0),0,
IF(AND(照護有術顯示判斷=2,'試算表(16歲-65歲)'!A45&gt;=20,'試算表(16歲-65歲)'!A45&lt;=29),0,
VLOOKUP("P"&amp;REPT("0",2-LEN(商品年期))&amp;商品年期&amp;"S"&amp;"2"&amp;"A"&amp;REPT("0",2-LEN(A45))&amp;A45,INDIRECT(主約費率表),6,FALSE)*$O$3))</f>
        <v>0</v>
      </c>
      <c r="P45" s="146">
        <f t="shared" si="7"/>
        <v>0</v>
      </c>
      <c r="Q45" s="146">
        <f t="shared" si="8"/>
        <v>0</v>
      </c>
      <c r="R45" s="146">
        <f t="shared" si="9"/>
        <v>0</v>
      </c>
      <c r="S45" s="146">
        <f t="shared" si="10"/>
        <v>0</v>
      </c>
      <c r="T45" s="146">
        <f t="shared" si="11"/>
        <v>0</v>
      </c>
      <c r="U45" s="146" cm="1">
        <f t="array" ref="U45">IF(OR(A45="",$U$3=0),0,IF(ISERROR($U$3),0,ROUND(INDEX(MT_NP,1,職業等級)+(MAX(0,MT保額-3)*INDEX(MT_NP,2,職業等級)),0)))</f>
        <v>0</v>
      </c>
      <c r="V45" s="146">
        <f t="shared" si="12"/>
        <v>0</v>
      </c>
      <c r="W45" s="146">
        <f t="shared" si="13"/>
        <v>0</v>
      </c>
      <c r="X45" s="146">
        <f t="shared" si="18"/>
        <v>0</v>
      </c>
      <c r="Y45" s="146"/>
      <c r="Z45" s="146"/>
      <c r="AA45" s="153"/>
    </row>
    <row r="46" spans="1:27">
      <c r="A46" s="149" t="str">
        <f t="shared" si="16"/>
        <v/>
      </c>
      <c r="B46" s="150">
        <f ca="1">IF(OR(A46="",$B$3=0),0,
IF(AND(照護有術顯示判斷=2,'試算表(16歲-65歲)'!A46&gt;=20,'試算表(16歲-65歲)'!A46&lt;=29),0,
VLOOKUP("P"&amp;REPT("0",2-LEN(商品年期))&amp;商品年期&amp;"S"&amp;"1"&amp;"A"&amp;REPT("0",2-LEN(A46))&amp;A46,INDIRECT(主約費率表),6,FALSE)*$B$3))</f>
        <v>0</v>
      </c>
      <c r="C46" s="150">
        <f t="shared" si="0"/>
        <v>0</v>
      </c>
      <c r="D46" s="150">
        <f t="shared" si="1"/>
        <v>0</v>
      </c>
      <c r="E46" s="150">
        <f t="shared" si="2"/>
        <v>0</v>
      </c>
      <c r="F46" s="150">
        <f t="shared" si="3"/>
        <v>0</v>
      </c>
      <c r="G46" s="151">
        <f t="shared" si="4"/>
        <v>0</v>
      </c>
      <c r="H46" s="151" cm="1">
        <f t="array" ref="H46">IF(OR(A46="",$H$3=0),0,IF(ISERROR($H$3),0,ROUND(INDEX(MT_NP,1,職業等級)+(MAX(0,MT保額-3)*INDEX(MT_NP,2,職業等級)),0)))</f>
        <v>0</v>
      </c>
      <c r="I46" s="150">
        <f t="shared" si="15"/>
        <v>0</v>
      </c>
      <c r="J46" s="150">
        <f t="shared" si="5"/>
        <v>0</v>
      </c>
      <c r="K46" s="150">
        <f t="shared" si="17"/>
        <v>0</v>
      </c>
      <c r="L46" s="150"/>
      <c r="M46" s="150"/>
      <c r="N46" s="152"/>
      <c r="O46" s="146">
        <f ca="1">IF(OR(A46="",$B$3=0),0,
IF(AND(照護有術顯示判斷=2,'試算表(16歲-65歲)'!A46&gt;=20,'試算表(16歲-65歲)'!A46&lt;=29),0,
VLOOKUP("P"&amp;REPT("0",2-LEN(商品年期))&amp;商品年期&amp;"S"&amp;"2"&amp;"A"&amp;REPT("0",2-LEN(A46))&amp;A46,INDIRECT(主約費率表),6,FALSE)*$O$3))</f>
        <v>0</v>
      </c>
      <c r="P46" s="146">
        <f t="shared" si="7"/>
        <v>0</v>
      </c>
      <c r="Q46" s="146">
        <f t="shared" si="8"/>
        <v>0</v>
      </c>
      <c r="R46" s="146">
        <f t="shared" si="9"/>
        <v>0</v>
      </c>
      <c r="S46" s="146">
        <f t="shared" si="10"/>
        <v>0</v>
      </c>
      <c r="T46" s="146">
        <f t="shared" si="11"/>
        <v>0</v>
      </c>
      <c r="U46" s="146" cm="1">
        <f t="array" ref="U46">IF(OR(A46="",$U$3=0),0,IF(ISERROR($U$3),0,ROUND(INDEX(MT_NP,1,職業等級)+(MAX(0,MT保額-3)*INDEX(MT_NP,2,職業等級)),0)))</f>
        <v>0</v>
      </c>
      <c r="V46" s="146">
        <f t="shared" si="12"/>
        <v>0</v>
      </c>
      <c r="W46" s="146">
        <f t="shared" si="13"/>
        <v>0</v>
      </c>
      <c r="X46" s="146">
        <f t="shared" si="18"/>
        <v>0</v>
      </c>
      <c r="Y46" s="146"/>
      <c r="Z46" s="146"/>
      <c r="AA46" s="153"/>
    </row>
    <row r="47" spans="1:27">
      <c r="A47" s="149" t="str">
        <f t="shared" si="16"/>
        <v/>
      </c>
      <c r="B47" s="150">
        <f ca="1">IF(OR(A47="",$B$3=0),0,
IF(AND(照護有術顯示判斷=2,'試算表(16歲-65歲)'!A47&gt;=20,'試算表(16歲-65歲)'!A47&lt;=29),0,
VLOOKUP("P"&amp;REPT("0",2-LEN(商品年期))&amp;商品年期&amp;"S"&amp;"1"&amp;"A"&amp;REPT("0",2-LEN(A47))&amp;A47,INDIRECT(主約費率表),6,FALSE)*$B$3))</f>
        <v>0</v>
      </c>
      <c r="C47" s="150">
        <f t="shared" si="0"/>
        <v>0</v>
      </c>
      <c r="D47" s="150">
        <f t="shared" si="1"/>
        <v>0</v>
      </c>
      <c r="E47" s="150">
        <f t="shared" si="2"/>
        <v>0</v>
      </c>
      <c r="F47" s="150">
        <f t="shared" si="3"/>
        <v>0</v>
      </c>
      <c r="G47" s="151">
        <f t="shared" si="4"/>
        <v>0</v>
      </c>
      <c r="H47" s="151" cm="1">
        <f t="array" ref="H47">IF(OR(A47="",$H$3=0),0,IF(ISERROR($H$3),0,ROUND(INDEX(MT_NP,1,職業等級)+(MAX(0,MT保額-3)*INDEX(MT_NP,2,職業等級)),0)))</f>
        <v>0</v>
      </c>
      <c r="I47" s="150">
        <f t="shared" si="15"/>
        <v>0</v>
      </c>
      <c r="J47" s="150">
        <f t="shared" si="5"/>
        <v>0</v>
      </c>
      <c r="K47" s="150">
        <f t="shared" si="17"/>
        <v>0</v>
      </c>
      <c r="L47" s="150"/>
      <c r="M47" s="150"/>
      <c r="N47" s="152"/>
      <c r="O47" s="146">
        <f ca="1">IF(OR(A47="",$B$3=0),0,
IF(AND(照護有術顯示判斷=2,'試算表(16歲-65歲)'!A47&gt;=20,'試算表(16歲-65歲)'!A47&lt;=29),0,
VLOOKUP("P"&amp;REPT("0",2-LEN(商品年期))&amp;商品年期&amp;"S"&amp;"2"&amp;"A"&amp;REPT("0",2-LEN(A47))&amp;A47,INDIRECT(主約費率表),6,FALSE)*$O$3))</f>
        <v>0</v>
      </c>
      <c r="P47" s="146">
        <f t="shared" si="7"/>
        <v>0</v>
      </c>
      <c r="Q47" s="146">
        <f t="shared" si="8"/>
        <v>0</v>
      </c>
      <c r="R47" s="146">
        <f t="shared" si="9"/>
        <v>0</v>
      </c>
      <c r="S47" s="146">
        <f t="shared" si="10"/>
        <v>0</v>
      </c>
      <c r="T47" s="146">
        <f t="shared" si="11"/>
        <v>0</v>
      </c>
      <c r="U47" s="146" cm="1">
        <f t="array" ref="U47">IF(OR(A47="",$U$3=0),0,IF(ISERROR($U$3),0,ROUND(INDEX(MT_NP,1,職業等級)+(MAX(0,MT保額-3)*INDEX(MT_NP,2,職業等級)),0)))</f>
        <v>0</v>
      </c>
      <c r="V47" s="146">
        <f t="shared" si="12"/>
        <v>0</v>
      </c>
      <c r="W47" s="146">
        <f t="shared" si="13"/>
        <v>0</v>
      </c>
      <c r="X47" s="146">
        <f t="shared" si="18"/>
        <v>0</v>
      </c>
      <c r="Y47" s="146"/>
      <c r="Z47" s="146"/>
      <c r="AA47" s="153"/>
    </row>
    <row r="48" spans="1:27">
      <c r="A48" s="149" t="str">
        <f t="shared" si="16"/>
        <v/>
      </c>
      <c r="B48" s="150">
        <f ca="1">IF(OR(A48="",$B$3=0),0,
IF(AND(照護有術顯示判斷=2,'試算表(16歲-65歲)'!A48&gt;=20,'試算表(16歲-65歲)'!A48&lt;=29),0,
VLOOKUP("P"&amp;REPT("0",2-LEN(商品年期))&amp;商品年期&amp;"S"&amp;"1"&amp;"A"&amp;REPT("0",2-LEN(A48))&amp;A48,INDIRECT(主約費率表),6,FALSE)*$B$3))</f>
        <v>0</v>
      </c>
      <c r="C48" s="150">
        <f t="shared" si="0"/>
        <v>0</v>
      </c>
      <c r="D48" s="150">
        <f t="shared" si="1"/>
        <v>0</v>
      </c>
      <c r="E48" s="150">
        <f t="shared" si="2"/>
        <v>0</v>
      </c>
      <c r="F48" s="150">
        <f t="shared" si="3"/>
        <v>0</v>
      </c>
      <c r="G48" s="151">
        <f t="shared" si="4"/>
        <v>0</v>
      </c>
      <c r="H48" s="151" cm="1">
        <f t="array" ref="H48">IF(OR(A48="",$H$3=0),0,IF(ISERROR($H$3),0,ROUND(INDEX(MT_NP,1,職業等級)+(MAX(0,MT保額-3)*INDEX(MT_NP,2,職業等級)),0)))</f>
        <v>0</v>
      </c>
      <c r="I48" s="150">
        <f t="shared" si="15"/>
        <v>0</v>
      </c>
      <c r="J48" s="150">
        <f t="shared" si="5"/>
        <v>0</v>
      </c>
      <c r="K48" s="150">
        <f t="shared" si="17"/>
        <v>0</v>
      </c>
      <c r="L48" s="150"/>
      <c r="M48" s="150"/>
      <c r="N48" s="152"/>
      <c r="O48" s="146">
        <f ca="1">IF(OR(A48="",$B$3=0),0,
IF(AND(照護有術顯示判斷=2,'試算表(16歲-65歲)'!A48&gt;=20,'試算表(16歲-65歲)'!A48&lt;=29),0,
VLOOKUP("P"&amp;REPT("0",2-LEN(商品年期))&amp;商品年期&amp;"S"&amp;"2"&amp;"A"&amp;REPT("0",2-LEN(A48))&amp;A48,INDIRECT(主約費率表),6,FALSE)*$O$3))</f>
        <v>0</v>
      </c>
      <c r="P48" s="146">
        <f t="shared" si="7"/>
        <v>0</v>
      </c>
      <c r="Q48" s="146">
        <f t="shared" si="8"/>
        <v>0</v>
      </c>
      <c r="R48" s="146">
        <f t="shared" si="9"/>
        <v>0</v>
      </c>
      <c r="S48" s="146">
        <f t="shared" si="10"/>
        <v>0</v>
      </c>
      <c r="T48" s="146">
        <f t="shared" si="11"/>
        <v>0</v>
      </c>
      <c r="U48" s="146" cm="1">
        <f t="array" ref="U48">IF(OR(A48="",$U$3=0),0,IF(ISERROR($U$3),0,ROUND(INDEX(MT_NP,1,職業等級)+(MAX(0,MT保額-3)*INDEX(MT_NP,2,職業等級)),0)))</f>
        <v>0</v>
      </c>
      <c r="V48" s="146">
        <f t="shared" si="12"/>
        <v>0</v>
      </c>
      <c r="W48" s="146">
        <f t="shared" si="13"/>
        <v>0</v>
      </c>
      <c r="X48" s="146">
        <f t="shared" si="18"/>
        <v>0</v>
      </c>
      <c r="Y48" s="146"/>
      <c r="Z48" s="146"/>
      <c r="AA48" s="153"/>
    </row>
    <row r="49" spans="1:27">
      <c r="A49" s="149" t="str">
        <f t="shared" si="16"/>
        <v/>
      </c>
      <c r="B49" s="150">
        <f ca="1">IF(OR(A49="",$B$3=0),0,
IF(AND(照護有術顯示判斷=2,'試算表(16歲-65歲)'!A49&gt;=20,'試算表(16歲-65歲)'!A49&lt;=29),0,
VLOOKUP("P"&amp;REPT("0",2-LEN(商品年期))&amp;商品年期&amp;"S"&amp;"1"&amp;"A"&amp;REPT("0",2-LEN(A49))&amp;A49,INDIRECT(主約費率表),6,FALSE)*$B$3))</f>
        <v>0</v>
      </c>
      <c r="C49" s="150">
        <f t="shared" si="0"/>
        <v>0</v>
      </c>
      <c r="D49" s="150">
        <f t="shared" si="1"/>
        <v>0</v>
      </c>
      <c r="E49" s="150">
        <f t="shared" si="2"/>
        <v>0</v>
      </c>
      <c r="F49" s="150">
        <f t="shared" si="3"/>
        <v>0</v>
      </c>
      <c r="G49" s="151">
        <f t="shared" si="4"/>
        <v>0</v>
      </c>
      <c r="H49" s="151" cm="1">
        <f t="array" ref="H49">IF(OR(A49="",$H$3=0),0,IF(ISERROR($H$3),0,ROUND(INDEX(MT_NP,1,職業等級)+(MAX(0,MT保額-3)*INDEX(MT_NP,2,職業等級)),0)))</f>
        <v>0</v>
      </c>
      <c r="I49" s="150">
        <f t="shared" si="15"/>
        <v>0</v>
      </c>
      <c r="J49" s="150">
        <f t="shared" si="5"/>
        <v>0</v>
      </c>
      <c r="K49" s="150">
        <f t="shared" si="17"/>
        <v>0</v>
      </c>
      <c r="L49" s="150"/>
      <c r="M49" s="150"/>
      <c r="N49" s="152"/>
      <c r="O49" s="146">
        <f ca="1">IF(OR(A49="",$B$3=0),0,
IF(AND(照護有術顯示判斷=2,'試算表(16歲-65歲)'!A49&gt;=20,'試算表(16歲-65歲)'!A49&lt;=29),0,
VLOOKUP("P"&amp;REPT("0",2-LEN(商品年期))&amp;商品年期&amp;"S"&amp;"2"&amp;"A"&amp;REPT("0",2-LEN(A49))&amp;A49,INDIRECT(主約費率表),6,FALSE)*$O$3))</f>
        <v>0</v>
      </c>
      <c r="P49" s="146">
        <f t="shared" si="7"/>
        <v>0</v>
      </c>
      <c r="Q49" s="146">
        <f t="shared" si="8"/>
        <v>0</v>
      </c>
      <c r="R49" s="146">
        <f t="shared" si="9"/>
        <v>0</v>
      </c>
      <c r="S49" s="146">
        <f t="shared" si="10"/>
        <v>0</v>
      </c>
      <c r="T49" s="146">
        <f t="shared" si="11"/>
        <v>0</v>
      </c>
      <c r="U49" s="146" cm="1">
        <f t="array" ref="U49">IF(OR(A49="",$U$3=0),0,IF(ISERROR($U$3),0,ROUND(INDEX(MT_NP,1,職業等級)+(MAX(0,MT保額-3)*INDEX(MT_NP,2,職業等級)),0)))</f>
        <v>0</v>
      </c>
      <c r="V49" s="146">
        <f t="shared" si="12"/>
        <v>0</v>
      </c>
      <c r="W49" s="146">
        <f t="shared" si="13"/>
        <v>0</v>
      </c>
      <c r="X49" s="146">
        <f t="shared" si="18"/>
        <v>0</v>
      </c>
      <c r="Y49" s="146"/>
      <c r="Z49" s="146"/>
      <c r="AA49" s="153"/>
    </row>
    <row r="50" spans="1:27">
      <c r="A50" s="149" t="str">
        <f t="shared" si="16"/>
        <v/>
      </c>
      <c r="B50" s="150">
        <f ca="1">IF(OR(A50="",$B$3=0),0,
IF(AND(照護有術顯示判斷=2,'試算表(16歲-65歲)'!A50&gt;=20,'試算表(16歲-65歲)'!A50&lt;=29),0,
VLOOKUP("P"&amp;REPT("0",2-LEN(商品年期))&amp;商品年期&amp;"S"&amp;"1"&amp;"A"&amp;REPT("0",2-LEN(A50))&amp;A50,INDIRECT(主約費率表),6,FALSE)*$B$3))</f>
        <v>0</v>
      </c>
      <c r="C50" s="150">
        <f t="shared" si="0"/>
        <v>0</v>
      </c>
      <c r="D50" s="150">
        <f t="shared" si="1"/>
        <v>0</v>
      </c>
      <c r="E50" s="150">
        <f t="shared" si="2"/>
        <v>0</v>
      </c>
      <c r="F50" s="150">
        <f t="shared" si="3"/>
        <v>0</v>
      </c>
      <c r="G50" s="151">
        <f t="shared" si="4"/>
        <v>0</v>
      </c>
      <c r="H50" s="151" cm="1">
        <f t="array" ref="H50">IF(OR(A50="",$H$3=0),0,IF(ISERROR($H$3),0,ROUND(INDEX(MT_NP,1,職業等級)+(MAX(0,MT保額-3)*INDEX(MT_NP,2,職業等級)),0)))</f>
        <v>0</v>
      </c>
      <c r="I50" s="150">
        <f t="shared" si="15"/>
        <v>0</v>
      </c>
      <c r="J50" s="150">
        <f t="shared" si="5"/>
        <v>0</v>
      </c>
      <c r="K50" s="150">
        <f t="shared" si="17"/>
        <v>0</v>
      </c>
      <c r="L50" s="150"/>
      <c r="M50" s="150"/>
      <c r="N50" s="152"/>
      <c r="O50" s="146">
        <f ca="1">IF(OR(A50="",$B$3=0),0,
IF(AND(照護有術顯示判斷=2,'試算表(16歲-65歲)'!A50&gt;=20,'試算表(16歲-65歲)'!A50&lt;=29),0,
VLOOKUP("P"&amp;REPT("0",2-LEN(商品年期))&amp;商品年期&amp;"S"&amp;"2"&amp;"A"&amp;REPT("0",2-LEN(A50))&amp;A50,INDIRECT(主約費率表),6,FALSE)*$O$3))</f>
        <v>0</v>
      </c>
      <c r="P50" s="146">
        <f t="shared" si="7"/>
        <v>0</v>
      </c>
      <c r="Q50" s="146">
        <f t="shared" si="8"/>
        <v>0</v>
      </c>
      <c r="R50" s="146">
        <f t="shared" si="9"/>
        <v>0</v>
      </c>
      <c r="S50" s="146">
        <f t="shared" si="10"/>
        <v>0</v>
      </c>
      <c r="T50" s="146">
        <f t="shared" si="11"/>
        <v>0</v>
      </c>
      <c r="U50" s="146" cm="1">
        <f t="array" ref="U50">IF(OR(A50="",$U$3=0),0,IF(ISERROR($U$3),0,ROUND(INDEX(MT_NP,1,職業等級)+(MAX(0,MT保額-3)*INDEX(MT_NP,2,職業等級)),0)))</f>
        <v>0</v>
      </c>
      <c r="V50" s="146">
        <f t="shared" si="12"/>
        <v>0</v>
      </c>
      <c r="W50" s="146">
        <f t="shared" si="13"/>
        <v>0</v>
      </c>
      <c r="X50" s="146">
        <f t="shared" si="18"/>
        <v>0</v>
      </c>
      <c r="Y50" s="146"/>
      <c r="Z50" s="146"/>
      <c r="AA50" s="153"/>
    </row>
    <row r="51" spans="1:27">
      <c r="A51" s="149" t="str">
        <f t="shared" si="16"/>
        <v/>
      </c>
      <c r="B51" s="150">
        <f ca="1">IF(OR(A51="",$B$3=0),0,
IF(AND(照護有術顯示判斷=2,'試算表(16歲-65歲)'!A51&gt;=20,'試算表(16歲-65歲)'!A51&lt;=29),0,
VLOOKUP("P"&amp;REPT("0",2-LEN(商品年期))&amp;商品年期&amp;"S"&amp;"1"&amp;"A"&amp;REPT("0",2-LEN(A51))&amp;A51,INDIRECT(主約費率表),6,FALSE)*$B$3))</f>
        <v>0</v>
      </c>
      <c r="C51" s="150">
        <f t="shared" si="0"/>
        <v>0</v>
      </c>
      <c r="D51" s="150">
        <f t="shared" si="1"/>
        <v>0</v>
      </c>
      <c r="E51" s="150">
        <f t="shared" si="2"/>
        <v>0</v>
      </c>
      <c r="F51" s="150">
        <f t="shared" si="3"/>
        <v>0</v>
      </c>
      <c r="G51" s="151">
        <f t="shared" si="4"/>
        <v>0</v>
      </c>
      <c r="H51" s="151" cm="1">
        <f t="array" ref="H51">IF(OR(A51="",$H$3=0),0,IF(ISERROR($H$3),0,ROUND(INDEX(MT_NP,1,職業等級)+(MAX(0,MT保額-3)*INDEX(MT_NP,2,職業等級)),0)))</f>
        <v>0</v>
      </c>
      <c r="I51" s="150">
        <f t="shared" si="15"/>
        <v>0</v>
      </c>
      <c r="J51" s="150">
        <f t="shared" si="5"/>
        <v>0</v>
      </c>
      <c r="K51" s="150">
        <f t="shared" si="17"/>
        <v>0</v>
      </c>
      <c r="L51" s="150"/>
      <c r="M51" s="150"/>
      <c r="N51" s="152"/>
      <c r="O51" s="146">
        <f ca="1">IF(OR(A51="",$B$3=0),0,
IF(AND(照護有術顯示判斷=2,'試算表(16歲-65歲)'!A51&gt;=20,'試算表(16歲-65歲)'!A51&lt;=29),0,
VLOOKUP("P"&amp;REPT("0",2-LEN(商品年期))&amp;商品年期&amp;"S"&amp;"2"&amp;"A"&amp;REPT("0",2-LEN(A51))&amp;A51,INDIRECT(主約費率表),6,FALSE)*$O$3))</f>
        <v>0</v>
      </c>
      <c r="P51" s="146">
        <f t="shared" si="7"/>
        <v>0</v>
      </c>
      <c r="Q51" s="146">
        <f t="shared" si="8"/>
        <v>0</v>
      </c>
      <c r="R51" s="146">
        <f t="shared" si="9"/>
        <v>0</v>
      </c>
      <c r="S51" s="146">
        <f t="shared" si="10"/>
        <v>0</v>
      </c>
      <c r="T51" s="146">
        <f t="shared" si="11"/>
        <v>0</v>
      </c>
      <c r="U51" s="146" cm="1">
        <f t="array" ref="U51">IF(OR(A51="",$U$3=0),0,IF(ISERROR($U$3),0,ROUND(INDEX(MT_NP,1,職業等級)+(MAX(0,MT保額-3)*INDEX(MT_NP,2,職業等級)),0)))</f>
        <v>0</v>
      </c>
      <c r="V51" s="146">
        <f t="shared" si="12"/>
        <v>0</v>
      </c>
      <c r="W51" s="146">
        <f t="shared" si="13"/>
        <v>0</v>
      </c>
      <c r="X51" s="146">
        <f t="shared" si="18"/>
        <v>0</v>
      </c>
      <c r="Y51" s="146"/>
      <c r="Z51" s="146"/>
      <c r="AA51" s="153"/>
    </row>
    <row r="52" spans="1:27">
      <c r="A52" s="149" t="str">
        <f t="shared" si="16"/>
        <v/>
      </c>
      <c r="B52" s="150">
        <f ca="1">IF(OR(A52="",$B$3=0),0,
IF(AND(照護有術顯示判斷=2,'試算表(16歲-65歲)'!A52&gt;=20,'試算表(16歲-65歲)'!A52&lt;=29),0,
VLOOKUP("P"&amp;REPT("0",2-LEN(商品年期))&amp;商品年期&amp;"S"&amp;"1"&amp;"A"&amp;REPT("0",2-LEN(A52))&amp;A52,INDIRECT(主約費率表),6,FALSE)*$B$3))</f>
        <v>0</v>
      </c>
      <c r="C52" s="150">
        <f t="shared" si="0"/>
        <v>0</v>
      </c>
      <c r="D52" s="150">
        <f t="shared" si="1"/>
        <v>0</v>
      </c>
      <c r="E52" s="150">
        <f t="shared" si="2"/>
        <v>0</v>
      </c>
      <c r="F52" s="150">
        <f t="shared" si="3"/>
        <v>0</v>
      </c>
      <c r="G52" s="151">
        <f t="shared" si="4"/>
        <v>0</v>
      </c>
      <c r="H52" s="151" cm="1">
        <f t="array" ref="H52">IF(OR(A52="",$H$3=0),0,IF(ISERROR($H$3),0,ROUND(INDEX(MT_NP,1,職業等級)+(MAX(0,MT保額-3)*INDEX(MT_NP,2,職業等級)),0)))</f>
        <v>0</v>
      </c>
      <c r="I52" s="150">
        <f t="shared" si="15"/>
        <v>0</v>
      </c>
      <c r="J52" s="150">
        <f t="shared" si="5"/>
        <v>0</v>
      </c>
      <c r="K52" s="150">
        <f t="shared" si="17"/>
        <v>0</v>
      </c>
      <c r="L52" s="150"/>
      <c r="M52" s="150"/>
      <c r="N52" s="152"/>
      <c r="O52" s="146">
        <f ca="1">IF(OR(A52="",$B$3=0),0,
IF(AND(照護有術顯示判斷=2,'試算表(16歲-65歲)'!A52&gt;=20,'試算表(16歲-65歲)'!A52&lt;=29),0,
VLOOKUP("P"&amp;REPT("0",2-LEN(商品年期))&amp;商品年期&amp;"S"&amp;"2"&amp;"A"&amp;REPT("0",2-LEN(A52))&amp;A52,INDIRECT(主約費率表),6,FALSE)*$O$3))</f>
        <v>0</v>
      </c>
      <c r="P52" s="146">
        <f t="shared" si="7"/>
        <v>0</v>
      </c>
      <c r="Q52" s="146">
        <f t="shared" si="8"/>
        <v>0</v>
      </c>
      <c r="R52" s="146">
        <f t="shared" si="9"/>
        <v>0</v>
      </c>
      <c r="S52" s="146">
        <f t="shared" si="10"/>
        <v>0</v>
      </c>
      <c r="T52" s="146">
        <f t="shared" si="11"/>
        <v>0</v>
      </c>
      <c r="U52" s="146" cm="1">
        <f t="array" ref="U52">IF(OR(A52="",$U$3=0),0,IF(ISERROR($U$3),0,ROUND(INDEX(MT_NP,1,職業等級)+(MAX(0,MT保額-3)*INDEX(MT_NP,2,職業等級)),0)))</f>
        <v>0</v>
      </c>
      <c r="V52" s="146">
        <f t="shared" si="12"/>
        <v>0</v>
      </c>
      <c r="W52" s="146">
        <f t="shared" si="13"/>
        <v>0</v>
      </c>
      <c r="X52" s="146">
        <f t="shared" si="18"/>
        <v>0</v>
      </c>
      <c r="Y52" s="146"/>
      <c r="Z52" s="146"/>
      <c r="AA52" s="153"/>
    </row>
    <row r="53" spans="1:27">
      <c r="A53" s="149" t="str">
        <f t="shared" si="16"/>
        <v/>
      </c>
      <c r="B53" s="150">
        <f ca="1">IF(OR(A53="",$B$3=0),0,
IF(AND(照護有術顯示判斷=2,'試算表(16歲-65歲)'!A53&gt;=20,'試算表(16歲-65歲)'!A53&lt;=29),0,
VLOOKUP("P"&amp;REPT("0",2-LEN(商品年期))&amp;商品年期&amp;"S"&amp;"1"&amp;"A"&amp;REPT("0",2-LEN(A53))&amp;A53,INDIRECT(主約費率表),6,FALSE)*$B$3))</f>
        <v>0</v>
      </c>
      <c r="C53" s="150">
        <f t="shared" si="0"/>
        <v>0</v>
      </c>
      <c r="D53" s="150">
        <f t="shared" si="1"/>
        <v>0</v>
      </c>
      <c r="E53" s="150">
        <f t="shared" si="2"/>
        <v>0</v>
      </c>
      <c r="F53" s="150">
        <f t="shared" si="3"/>
        <v>0</v>
      </c>
      <c r="G53" s="151">
        <f t="shared" si="4"/>
        <v>0</v>
      </c>
      <c r="H53" s="151" cm="1">
        <f t="array" ref="H53">IF(OR(A53="",$H$3=0),0,IF(ISERROR($H$3),0,ROUND(INDEX(MT_NP,1,職業等級)+(MAX(0,MT保額-3)*INDEX(MT_NP,2,職業等級)),0)))</f>
        <v>0</v>
      </c>
      <c r="I53" s="150">
        <f t="shared" si="15"/>
        <v>0</v>
      </c>
      <c r="J53" s="150">
        <f t="shared" si="5"/>
        <v>0</v>
      </c>
      <c r="K53" s="150">
        <f t="shared" si="17"/>
        <v>0</v>
      </c>
      <c r="L53" s="150"/>
      <c r="M53" s="150"/>
      <c r="N53" s="152"/>
      <c r="O53" s="146">
        <f ca="1">IF(OR(A53="",$B$3=0),0,
IF(AND(照護有術顯示判斷=2,'試算表(16歲-65歲)'!A53&gt;=20,'試算表(16歲-65歲)'!A53&lt;=29),0,
VLOOKUP("P"&amp;REPT("0",2-LEN(商品年期))&amp;商品年期&amp;"S"&amp;"2"&amp;"A"&amp;REPT("0",2-LEN(A53))&amp;A53,INDIRECT(主約費率表),6,FALSE)*$O$3))</f>
        <v>0</v>
      </c>
      <c r="P53" s="146">
        <f t="shared" si="7"/>
        <v>0</v>
      </c>
      <c r="Q53" s="146">
        <f t="shared" si="8"/>
        <v>0</v>
      </c>
      <c r="R53" s="146">
        <f t="shared" si="9"/>
        <v>0</v>
      </c>
      <c r="S53" s="146">
        <f t="shared" si="10"/>
        <v>0</v>
      </c>
      <c r="T53" s="146">
        <f t="shared" si="11"/>
        <v>0</v>
      </c>
      <c r="U53" s="146" cm="1">
        <f t="array" ref="U53">IF(OR(A53="",$U$3=0),0,IF(ISERROR($U$3),0,ROUND(INDEX(MT_NP,1,職業等級)+(MAX(0,MT保額-3)*INDEX(MT_NP,2,職業等級)),0)))</f>
        <v>0</v>
      </c>
      <c r="V53" s="146">
        <f t="shared" si="12"/>
        <v>0</v>
      </c>
      <c r="W53" s="146">
        <f t="shared" si="13"/>
        <v>0</v>
      </c>
      <c r="X53" s="146">
        <f t="shared" si="18"/>
        <v>0</v>
      </c>
      <c r="Y53" s="146"/>
      <c r="Z53" s="146"/>
      <c r="AA53" s="153"/>
    </row>
    <row r="54" spans="1:27">
      <c r="A54" s="149" t="str">
        <f t="shared" si="16"/>
        <v/>
      </c>
      <c r="B54" s="150">
        <f ca="1">IF(OR(A54="",$B$3=0),0,
IF(AND(照護有術顯示判斷=2,'試算表(16歲-65歲)'!A54&gt;=20,'試算表(16歲-65歲)'!A54&lt;=29),0,
VLOOKUP("P"&amp;REPT("0",2-LEN(商品年期))&amp;商品年期&amp;"S"&amp;"1"&amp;"A"&amp;REPT("0",2-LEN(A54))&amp;A54,INDIRECT(主約費率表),6,FALSE)*$B$3))</f>
        <v>0</v>
      </c>
      <c r="C54" s="150">
        <f t="shared" si="0"/>
        <v>0</v>
      </c>
      <c r="D54" s="150">
        <f t="shared" si="1"/>
        <v>0</v>
      </c>
      <c r="E54" s="150">
        <f t="shared" si="2"/>
        <v>0</v>
      </c>
      <c r="F54" s="150">
        <f t="shared" si="3"/>
        <v>0</v>
      </c>
      <c r="G54" s="151">
        <f t="shared" si="4"/>
        <v>0</v>
      </c>
      <c r="H54" s="151" cm="1">
        <f t="array" ref="H54">IF(OR(A54="",$H$3=0),0,IF(ISERROR($H$3),0,ROUND(INDEX(MT_NP,1,職業等級)+(MAX(0,MT保額-3)*INDEX(MT_NP,2,職業等級)),0)))</f>
        <v>0</v>
      </c>
      <c r="I54" s="150">
        <f t="shared" si="15"/>
        <v>0</v>
      </c>
      <c r="J54" s="150">
        <f t="shared" si="5"/>
        <v>0</v>
      </c>
      <c r="K54" s="150">
        <f t="shared" si="17"/>
        <v>0</v>
      </c>
      <c r="L54" s="150"/>
      <c r="M54" s="150"/>
      <c r="N54" s="152"/>
      <c r="O54" s="146">
        <f ca="1">IF(OR(A54="",$B$3=0),0,
IF(AND(照護有術顯示判斷=2,'試算表(16歲-65歲)'!A54&gt;=20,'試算表(16歲-65歲)'!A54&lt;=29),0,
VLOOKUP("P"&amp;REPT("0",2-LEN(商品年期))&amp;商品年期&amp;"S"&amp;"2"&amp;"A"&amp;REPT("0",2-LEN(A54))&amp;A54,INDIRECT(主約費率表),6,FALSE)*$O$3))</f>
        <v>0</v>
      </c>
      <c r="P54" s="146">
        <f t="shared" si="7"/>
        <v>0</v>
      </c>
      <c r="Q54" s="146">
        <f t="shared" si="8"/>
        <v>0</v>
      </c>
      <c r="R54" s="146">
        <f t="shared" si="9"/>
        <v>0</v>
      </c>
      <c r="S54" s="146">
        <f t="shared" si="10"/>
        <v>0</v>
      </c>
      <c r="T54" s="146">
        <f t="shared" si="11"/>
        <v>0</v>
      </c>
      <c r="U54" s="146" cm="1">
        <f t="array" ref="U54">IF(OR(A54="",$U$3=0),0,IF(ISERROR($U$3),0,ROUND(INDEX(MT_NP,1,職業等級)+(MAX(0,MT保額-3)*INDEX(MT_NP,2,職業等級)),0)))</f>
        <v>0</v>
      </c>
      <c r="V54" s="146">
        <f t="shared" si="12"/>
        <v>0</v>
      </c>
      <c r="W54" s="146">
        <f t="shared" si="13"/>
        <v>0</v>
      </c>
      <c r="X54" s="146">
        <f t="shared" si="18"/>
        <v>0</v>
      </c>
      <c r="Y54" s="146"/>
      <c r="Z54" s="146"/>
      <c r="AA54" s="153"/>
    </row>
    <row r="55" spans="1:27">
      <c r="A55" s="149" t="str">
        <f t="shared" si="16"/>
        <v/>
      </c>
      <c r="B55" s="150">
        <f ca="1">IF(OR(A55="",$B$3=0),0,
IF(AND(照護有術顯示判斷=2,'試算表(16歲-65歲)'!A55&gt;=20,'試算表(16歲-65歲)'!A55&lt;=29),0,
VLOOKUP("P"&amp;REPT("0",2-LEN(商品年期))&amp;商品年期&amp;"S"&amp;"1"&amp;"A"&amp;REPT("0",2-LEN(A55))&amp;A55,INDIRECT(主約費率表),6,FALSE)*$B$3))</f>
        <v>0</v>
      </c>
      <c r="C55" s="150">
        <f t="shared" si="0"/>
        <v>0</v>
      </c>
      <c r="D55" s="150">
        <f t="shared" si="1"/>
        <v>0</v>
      </c>
      <c r="E55" s="150">
        <f t="shared" si="2"/>
        <v>0</v>
      </c>
      <c r="F55" s="150">
        <f t="shared" si="3"/>
        <v>0</v>
      </c>
      <c r="G55" s="151">
        <f t="shared" si="4"/>
        <v>0</v>
      </c>
      <c r="H55" s="151" cm="1">
        <f t="array" ref="H55">IF(OR(A55="",$H$3=0),0,IF(ISERROR($H$3),0,ROUND(INDEX(MT_NP,1,職業等級)+(MAX(0,MT保額-3)*INDEX(MT_NP,2,職業等級)),0)))</f>
        <v>0</v>
      </c>
      <c r="I55" s="150">
        <f t="shared" si="15"/>
        <v>0</v>
      </c>
      <c r="J55" s="150">
        <f t="shared" si="5"/>
        <v>0</v>
      </c>
      <c r="K55" s="150">
        <f t="shared" si="17"/>
        <v>0</v>
      </c>
      <c r="L55" s="150"/>
      <c r="M55" s="150"/>
      <c r="N55" s="152"/>
      <c r="O55" s="146">
        <f ca="1">IF(OR(A55="",$B$3=0),0,
IF(AND(照護有術顯示判斷=2,'試算表(16歲-65歲)'!A55&gt;=20,'試算表(16歲-65歲)'!A55&lt;=29),0,
VLOOKUP("P"&amp;REPT("0",2-LEN(商品年期))&amp;商品年期&amp;"S"&amp;"2"&amp;"A"&amp;REPT("0",2-LEN(A55))&amp;A55,INDIRECT(主約費率表),6,FALSE)*$O$3))</f>
        <v>0</v>
      </c>
      <c r="P55" s="146">
        <f t="shared" si="7"/>
        <v>0</v>
      </c>
      <c r="Q55" s="146">
        <f t="shared" si="8"/>
        <v>0</v>
      </c>
      <c r="R55" s="146">
        <f t="shared" si="9"/>
        <v>0</v>
      </c>
      <c r="S55" s="146">
        <f t="shared" si="10"/>
        <v>0</v>
      </c>
      <c r="T55" s="146">
        <f t="shared" si="11"/>
        <v>0</v>
      </c>
      <c r="U55" s="146" cm="1">
        <f t="array" ref="U55">IF(OR(A55="",$U$3=0),0,IF(ISERROR($U$3),0,ROUND(INDEX(MT_NP,1,職業等級)+(MAX(0,MT保額-3)*INDEX(MT_NP,2,職業等級)),0)))</f>
        <v>0</v>
      </c>
      <c r="V55" s="146">
        <f t="shared" si="12"/>
        <v>0</v>
      </c>
      <c r="W55" s="146">
        <f t="shared" si="13"/>
        <v>0</v>
      </c>
      <c r="X55" s="146">
        <f t="shared" si="18"/>
        <v>0</v>
      </c>
      <c r="Y55" s="146"/>
      <c r="Z55" s="146"/>
      <c r="AA55" s="153"/>
    </row>
    <row r="56" spans="1:27">
      <c r="A56" s="149" t="str">
        <f t="shared" si="16"/>
        <v/>
      </c>
      <c r="B56" s="150">
        <f ca="1">IF(OR(A56="",$B$3=0),0,
IF(AND(照護有術顯示判斷=2,'試算表(16歲-65歲)'!A56&gt;=20,'試算表(16歲-65歲)'!A56&lt;=29),0,
VLOOKUP("P"&amp;REPT("0",2-LEN(商品年期))&amp;商品年期&amp;"S"&amp;"1"&amp;"A"&amp;REPT("0",2-LEN(A56))&amp;A56,INDIRECT(主約費率表),6,FALSE)*$B$3))</f>
        <v>0</v>
      </c>
      <c r="C56" s="150">
        <f t="shared" si="0"/>
        <v>0</v>
      </c>
      <c r="D56" s="150">
        <f t="shared" si="1"/>
        <v>0</v>
      </c>
      <c r="E56" s="150">
        <f t="shared" si="2"/>
        <v>0</v>
      </c>
      <c r="F56" s="150">
        <f t="shared" si="3"/>
        <v>0</v>
      </c>
      <c r="G56" s="151">
        <f t="shared" si="4"/>
        <v>0</v>
      </c>
      <c r="H56" s="151" cm="1">
        <f t="array" ref="H56">IF(OR(A56="",$H$3=0),0,IF(ISERROR($H$3),0,ROUND(INDEX(MT_NP,1,職業等級)+(MAX(0,MT保額-3)*INDEX(MT_NP,2,職業等級)),0)))</f>
        <v>0</v>
      </c>
      <c r="I56" s="150">
        <f t="shared" si="15"/>
        <v>0</v>
      </c>
      <c r="J56" s="150">
        <f t="shared" si="5"/>
        <v>0</v>
      </c>
      <c r="K56" s="150">
        <f t="shared" si="17"/>
        <v>0</v>
      </c>
      <c r="L56" s="150"/>
      <c r="M56" s="150"/>
      <c r="N56" s="152"/>
      <c r="O56" s="146">
        <f ca="1">IF(OR(A56="",$B$3=0),0,
IF(AND(照護有術顯示判斷=2,'試算表(16歲-65歲)'!A56&gt;=20,'試算表(16歲-65歲)'!A56&lt;=29),0,
VLOOKUP("P"&amp;REPT("0",2-LEN(商品年期))&amp;商品年期&amp;"S"&amp;"2"&amp;"A"&amp;REPT("0",2-LEN(A56))&amp;A56,INDIRECT(主約費率表),6,FALSE)*$O$3))</f>
        <v>0</v>
      </c>
      <c r="P56" s="146">
        <f t="shared" si="7"/>
        <v>0</v>
      </c>
      <c r="Q56" s="146">
        <f t="shared" si="8"/>
        <v>0</v>
      </c>
      <c r="R56" s="146">
        <f t="shared" si="9"/>
        <v>0</v>
      </c>
      <c r="S56" s="146">
        <f t="shared" si="10"/>
        <v>0</v>
      </c>
      <c r="T56" s="146">
        <f t="shared" si="11"/>
        <v>0</v>
      </c>
      <c r="U56" s="146" cm="1">
        <f t="array" ref="U56">IF(OR(A56="",$U$3=0),0,IF(ISERROR($U$3),0,ROUND(INDEX(MT_NP,1,職業等級)+(MAX(0,MT保額-3)*INDEX(MT_NP,2,職業等級)),0)))</f>
        <v>0</v>
      </c>
      <c r="V56" s="146">
        <f t="shared" si="12"/>
        <v>0</v>
      </c>
      <c r="W56" s="146">
        <f t="shared" si="13"/>
        <v>0</v>
      </c>
      <c r="X56" s="146">
        <f t="shared" si="18"/>
        <v>0</v>
      </c>
      <c r="Y56" s="146"/>
      <c r="Z56" s="146"/>
      <c r="AA56" s="153"/>
    </row>
    <row r="57" spans="1:27">
      <c r="A57" s="149" t="str">
        <f t="shared" si="16"/>
        <v/>
      </c>
      <c r="B57" s="150">
        <f ca="1">IF(OR(A57="",$B$3=0),0,
IF(AND(照護有術顯示判斷=2,'試算表(16歲-65歲)'!A57&gt;=20,'試算表(16歲-65歲)'!A57&lt;=29),0,
VLOOKUP("P"&amp;REPT("0",2-LEN(商品年期))&amp;商品年期&amp;"S"&amp;"1"&amp;"A"&amp;REPT("0",2-LEN(A57))&amp;A57,INDIRECT(主約費率表),6,FALSE)*$B$3))</f>
        <v>0</v>
      </c>
      <c r="C57" s="150">
        <f t="shared" si="0"/>
        <v>0</v>
      </c>
      <c r="D57" s="150">
        <f t="shared" si="1"/>
        <v>0</v>
      </c>
      <c r="E57" s="150">
        <f t="shared" si="2"/>
        <v>0</v>
      </c>
      <c r="F57" s="150">
        <f t="shared" si="3"/>
        <v>0</v>
      </c>
      <c r="G57" s="151">
        <f t="shared" si="4"/>
        <v>0</v>
      </c>
      <c r="H57" s="151" cm="1">
        <f t="array" ref="H57">IF(OR(A57="",$H$3=0),0,IF(ISERROR($H$3),0,ROUND(INDEX(MT_NP,1,職業等級)+(MAX(0,MT保額-3)*INDEX(MT_NP,2,職業等級)),0)))</f>
        <v>0</v>
      </c>
      <c r="I57" s="150">
        <f t="shared" si="15"/>
        <v>0</v>
      </c>
      <c r="J57" s="150">
        <f t="shared" si="5"/>
        <v>0</v>
      </c>
      <c r="K57" s="150">
        <f t="shared" si="17"/>
        <v>0</v>
      </c>
      <c r="L57" s="150"/>
      <c r="M57" s="150"/>
      <c r="N57" s="152"/>
      <c r="O57" s="146">
        <f ca="1">IF(OR(A57="",$B$3=0),0,
IF(AND(照護有術顯示判斷=2,'試算表(16歲-65歲)'!A57&gt;=20,'試算表(16歲-65歲)'!A57&lt;=29),0,
VLOOKUP("P"&amp;REPT("0",2-LEN(商品年期))&amp;商品年期&amp;"S"&amp;"2"&amp;"A"&amp;REPT("0",2-LEN(A57))&amp;A57,INDIRECT(主約費率表),6,FALSE)*$O$3))</f>
        <v>0</v>
      </c>
      <c r="P57" s="146">
        <f t="shared" si="7"/>
        <v>0</v>
      </c>
      <c r="Q57" s="146">
        <f t="shared" si="8"/>
        <v>0</v>
      </c>
      <c r="R57" s="146">
        <f t="shared" si="9"/>
        <v>0</v>
      </c>
      <c r="S57" s="146">
        <f t="shared" si="10"/>
        <v>0</v>
      </c>
      <c r="T57" s="146">
        <f t="shared" si="11"/>
        <v>0</v>
      </c>
      <c r="U57" s="146" cm="1">
        <f t="array" ref="U57">IF(OR(A57="",$U$3=0),0,IF(ISERROR($U$3),0,ROUND(INDEX(MT_NP,1,職業等級)+(MAX(0,MT保額-3)*INDEX(MT_NP,2,職業等級)),0)))</f>
        <v>0</v>
      </c>
      <c r="V57" s="146">
        <f t="shared" si="12"/>
        <v>0</v>
      </c>
      <c r="W57" s="146">
        <f t="shared" si="13"/>
        <v>0</v>
      </c>
      <c r="X57" s="146">
        <f t="shared" si="18"/>
        <v>0</v>
      </c>
      <c r="Y57" s="146"/>
      <c r="Z57" s="146"/>
      <c r="AA57" s="153"/>
    </row>
    <row r="58" spans="1:27">
      <c r="A58" s="149" t="str">
        <f t="shared" si="16"/>
        <v/>
      </c>
      <c r="B58" s="150">
        <f ca="1">IF(OR(A58="",$B$3=0),0,
IF(AND(照護有術顯示判斷=2,'試算表(16歲-65歲)'!A58&gt;=20,'試算表(16歲-65歲)'!A58&lt;=29),0,
VLOOKUP("P"&amp;REPT("0",2-LEN(商品年期))&amp;商品年期&amp;"S"&amp;"1"&amp;"A"&amp;REPT("0",2-LEN(A58))&amp;A58,INDIRECT(主約費率表),6,FALSE)*$B$3))</f>
        <v>0</v>
      </c>
      <c r="C58" s="150">
        <f t="shared" si="0"/>
        <v>0</v>
      </c>
      <c r="D58" s="150">
        <f t="shared" si="1"/>
        <v>0</v>
      </c>
      <c r="E58" s="150">
        <f t="shared" si="2"/>
        <v>0</v>
      </c>
      <c r="F58" s="150">
        <f t="shared" si="3"/>
        <v>0</v>
      </c>
      <c r="G58" s="151">
        <f t="shared" si="4"/>
        <v>0</v>
      </c>
      <c r="H58" s="151" cm="1">
        <f t="array" ref="H58">IF(OR(A58="",$H$3=0),0,IF(ISERROR($H$3),0,ROUND(INDEX(MT_NP,1,職業等級)+(MAX(0,MT保額-3)*INDEX(MT_NP,2,職業等級)),0)))</f>
        <v>0</v>
      </c>
      <c r="I58" s="150">
        <f t="shared" si="15"/>
        <v>0</v>
      </c>
      <c r="J58" s="150">
        <f t="shared" si="5"/>
        <v>0</v>
      </c>
      <c r="K58" s="150">
        <f t="shared" si="17"/>
        <v>0</v>
      </c>
      <c r="L58" s="150"/>
      <c r="M58" s="150"/>
      <c r="N58" s="152"/>
      <c r="O58" s="146">
        <f ca="1">IF(OR(A58="",$B$3=0),0,
IF(AND(照護有術顯示判斷=2,'試算表(16歲-65歲)'!A58&gt;=20,'試算表(16歲-65歲)'!A58&lt;=29),0,
VLOOKUP("P"&amp;REPT("0",2-LEN(商品年期))&amp;商品年期&amp;"S"&amp;"2"&amp;"A"&amp;REPT("0",2-LEN(A58))&amp;A58,INDIRECT(主約費率表),6,FALSE)*$O$3))</f>
        <v>0</v>
      </c>
      <c r="P58" s="146">
        <f t="shared" si="7"/>
        <v>0</v>
      </c>
      <c r="Q58" s="146">
        <f t="shared" si="8"/>
        <v>0</v>
      </c>
      <c r="R58" s="146">
        <f t="shared" si="9"/>
        <v>0</v>
      </c>
      <c r="S58" s="146">
        <f t="shared" si="10"/>
        <v>0</v>
      </c>
      <c r="T58" s="146">
        <f t="shared" si="11"/>
        <v>0</v>
      </c>
      <c r="U58" s="146" cm="1">
        <f t="array" ref="U58">IF(OR(A58="",$U$3=0),0,IF(ISERROR($U$3),0,ROUND(INDEX(MT_NP,1,職業等級)+(MAX(0,MT保額-3)*INDEX(MT_NP,2,職業等級)),0)))</f>
        <v>0</v>
      </c>
      <c r="V58" s="146">
        <f t="shared" si="12"/>
        <v>0</v>
      </c>
      <c r="W58" s="146">
        <f t="shared" si="13"/>
        <v>0</v>
      </c>
      <c r="X58" s="146">
        <f t="shared" si="18"/>
        <v>0</v>
      </c>
      <c r="Y58" s="146"/>
      <c r="Z58" s="146"/>
      <c r="AA58" s="153"/>
    </row>
    <row r="59" spans="1:27">
      <c r="A59" s="149" t="str">
        <f t="shared" si="16"/>
        <v/>
      </c>
      <c r="B59" s="150">
        <f ca="1">IF(OR(A59="",$B$3=0),0,
IF(AND(照護有術顯示判斷=2,'試算表(16歲-65歲)'!A59&gt;=20,'試算表(16歲-65歲)'!A59&lt;=29),0,
VLOOKUP("P"&amp;REPT("0",2-LEN(商品年期))&amp;商品年期&amp;"S"&amp;"1"&amp;"A"&amp;REPT("0",2-LEN(A59))&amp;A59,INDIRECT(主約費率表),6,FALSE)*$B$3))</f>
        <v>0</v>
      </c>
      <c r="C59" s="150">
        <f t="shared" si="0"/>
        <v>0</v>
      </c>
      <c r="D59" s="150">
        <f t="shared" si="1"/>
        <v>0</v>
      </c>
      <c r="E59" s="150">
        <f t="shared" si="2"/>
        <v>0</v>
      </c>
      <c r="F59" s="150">
        <f t="shared" si="3"/>
        <v>0</v>
      </c>
      <c r="G59" s="151">
        <f t="shared" si="4"/>
        <v>0</v>
      </c>
      <c r="H59" s="151" cm="1">
        <f t="array" ref="H59">IF(OR(A59="",$H$3=0),0,IF(ISERROR($H$3),0,ROUND(INDEX(MT_NP,1,職業等級)+(MAX(0,MT保額-3)*INDEX(MT_NP,2,職業等級)),0)))</f>
        <v>0</v>
      </c>
      <c r="I59" s="150">
        <f t="shared" si="15"/>
        <v>0</v>
      </c>
      <c r="J59" s="150">
        <f t="shared" si="5"/>
        <v>0</v>
      </c>
      <c r="K59" s="150">
        <f t="shared" si="17"/>
        <v>0</v>
      </c>
      <c r="L59" s="150"/>
      <c r="M59" s="150"/>
      <c r="N59" s="152"/>
      <c r="O59" s="146">
        <f ca="1">IF(OR(A59="",$B$3=0),0,
IF(AND(照護有術顯示判斷=2,'試算表(16歲-65歲)'!A59&gt;=20,'試算表(16歲-65歲)'!A59&lt;=29),0,
VLOOKUP("P"&amp;REPT("0",2-LEN(商品年期))&amp;商品年期&amp;"S"&amp;"2"&amp;"A"&amp;REPT("0",2-LEN(A59))&amp;A59,INDIRECT(主約費率表),6,FALSE)*$O$3))</f>
        <v>0</v>
      </c>
      <c r="P59" s="146">
        <f t="shared" si="7"/>
        <v>0</v>
      </c>
      <c r="Q59" s="146">
        <f t="shared" si="8"/>
        <v>0</v>
      </c>
      <c r="R59" s="146">
        <f t="shared" si="9"/>
        <v>0</v>
      </c>
      <c r="S59" s="146">
        <f t="shared" si="10"/>
        <v>0</v>
      </c>
      <c r="T59" s="146">
        <f t="shared" si="11"/>
        <v>0</v>
      </c>
      <c r="U59" s="146" cm="1">
        <f t="array" ref="U59">IF(OR(A59="",$U$3=0),0,IF(ISERROR($U$3),0,ROUND(INDEX(MT_NP,1,職業等級)+(MAX(0,MT保額-3)*INDEX(MT_NP,2,職業等級)),0)))</f>
        <v>0</v>
      </c>
      <c r="V59" s="146">
        <f t="shared" si="12"/>
        <v>0</v>
      </c>
      <c r="W59" s="146">
        <f t="shared" si="13"/>
        <v>0</v>
      </c>
      <c r="X59" s="146">
        <f t="shared" si="18"/>
        <v>0</v>
      </c>
      <c r="Y59" s="146"/>
      <c r="Z59" s="146"/>
      <c r="AA59" s="153"/>
    </row>
    <row r="60" spans="1:27">
      <c r="A60" s="149" t="str">
        <f t="shared" si="16"/>
        <v/>
      </c>
      <c r="B60" s="150">
        <f ca="1">IF(OR(A60="",$B$3=0),0,
IF(AND(照護有術顯示判斷=2,'試算表(16歲-65歲)'!A60&gt;=20,'試算表(16歲-65歲)'!A60&lt;=29),0,
VLOOKUP("P"&amp;REPT("0",2-LEN(商品年期))&amp;商品年期&amp;"S"&amp;"1"&amp;"A"&amp;REPT("0",2-LEN(A60))&amp;A60,INDIRECT(主約費率表),6,FALSE)*$B$3))</f>
        <v>0</v>
      </c>
      <c r="C60" s="150">
        <f t="shared" si="0"/>
        <v>0</v>
      </c>
      <c r="D60" s="150">
        <f t="shared" si="1"/>
        <v>0</v>
      </c>
      <c r="E60" s="150">
        <f t="shared" si="2"/>
        <v>0</v>
      </c>
      <c r="F60" s="150">
        <f t="shared" si="3"/>
        <v>0</v>
      </c>
      <c r="G60" s="151">
        <f t="shared" si="4"/>
        <v>0</v>
      </c>
      <c r="H60" s="151" cm="1">
        <f t="array" ref="H60">IF(OR(A60="",$H$3=0),0,IF(ISERROR($H$3),0,ROUND(INDEX(MT_NP,1,職業等級)+(MAX(0,MT保額-3)*INDEX(MT_NP,2,職業等級)),0)))</f>
        <v>0</v>
      </c>
      <c r="I60" s="150">
        <f t="shared" si="15"/>
        <v>0</v>
      </c>
      <c r="J60" s="150">
        <f t="shared" si="5"/>
        <v>0</v>
      </c>
      <c r="K60" s="150">
        <f t="shared" si="17"/>
        <v>0</v>
      </c>
      <c r="L60" s="150"/>
      <c r="M60" s="150"/>
      <c r="N60" s="152"/>
      <c r="O60" s="146">
        <f ca="1">IF(OR(A60="",$B$3=0),0,
IF(AND(照護有術顯示判斷=2,'試算表(16歲-65歲)'!A60&gt;=20,'試算表(16歲-65歲)'!A60&lt;=29),0,
VLOOKUP("P"&amp;REPT("0",2-LEN(商品年期))&amp;商品年期&amp;"S"&amp;"2"&amp;"A"&amp;REPT("0",2-LEN(A60))&amp;A60,INDIRECT(主約費率表),6,FALSE)*$O$3))</f>
        <v>0</v>
      </c>
      <c r="P60" s="146">
        <f t="shared" si="7"/>
        <v>0</v>
      </c>
      <c r="Q60" s="146">
        <f t="shared" si="8"/>
        <v>0</v>
      </c>
      <c r="R60" s="146">
        <f t="shared" si="9"/>
        <v>0</v>
      </c>
      <c r="S60" s="146">
        <f t="shared" si="10"/>
        <v>0</v>
      </c>
      <c r="T60" s="146">
        <f t="shared" si="11"/>
        <v>0</v>
      </c>
      <c r="U60" s="146" cm="1">
        <f t="array" ref="U60">IF(OR(A60="",$U$3=0),0,IF(ISERROR($U$3),0,ROUND(INDEX(MT_NP,1,職業等級)+(MAX(0,MT保額-3)*INDEX(MT_NP,2,職業等級)),0)))</f>
        <v>0</v>
      </c>
      <c r="V60" s="146">
        <f t="shared" si="12"/>
        <v>0</v>
      </c>
      <c r="W60" s="146">
        <f t="shared" si="13"/>
        <v>0</v>
      </c>
      <c r="X60" s="146">
        <f t="shared" si="18"/>
        <v>0</v>
      </c>
      <c r="Y60" s="146"/>
      <c r="Z60" s="146"/>
      <c r="AA60" s="153"/>
    </row>
    <row r="61" spans="1:27">
      <c r="A61" s="149" t="str">
        <f t="shared" si="16"/>
        <v/>
      </c>
      <c r="B61" s="150">
        <f ca="1">IF(OR(A61="",$B$3=0),0,
IF(AND(照護有術顯示判斷=2,'試算表(16歲-65歲)'!A61&gt;=20,'試算表(16歲-65歲)'!A61&lt;=29),0,
VLOOKUP("P"&amp;REPT("0",2-LEN(商品年期))&amp;商品年期&amp;"S"&amp;"1"&amp;"A"&amp;REPT("0",2-LEN(A61))&amp;A61,INDIRECT(主約費率表),6,FALSE)*$B$3))</f>
        <v>0</v>
      </c>
      <c r="C61" s="150">
        <f t="shared" si="0"/>
        <v>0</v>
      </c>
      <c r="D61" s="150">
        <f t="shared" si="1"/>
        <v>0</v>
      </c>
      <c r="E61" s="150">
        <f t="shared" si="2"/>
        <v>0</v>
      </c>
      <c r="F61" s="150">
        <f t="shared" si="3"/>
        <v>0</v>
      </c>
      <c r="G61" s="151">
        <f t="shared" si="4"/>
        <v>0</v>
      </c>
      <c r="H61" s="151" cm="1">
        <f t="array" ref="H61">IF(OR(A61="",$H$3=0),0,IF(ISERROR($H$3),0,ROUND(INDEX(MT_NP,1,職業等級)+(MAX(0,MT保額-3)*INDEX(MT_NP,2,職業等級)),0)))</f>
        <v>0</v>
      </c>
      <c r="I61" s="150">
        <f t="shared" si="15"/>
        <v>0</v>
      </c>
      <c r="J61" s="150">
        <f t="shared" si="5"/>
        <v>0</v>
      </c>
      <c r="K61" s="150">
        <f t="shared" si="17"/>
        <v>0</v>
      </c>
      <c r="L61" s="150"/>
      <c r="M61" s="150"/>
      <c r="N61" s="152"/>
      <c r="O61" s="146">
        <f ca="1">IF(OR(A61="",$B$3=0),0,
IF(AND(照護有術顯示判斷=2,'試算表(16歲-65歲)'!A61&gt;=20,'試算表(16歲-65歲)'!A61&lt;=29),0,
VLOOKUP("P"&amp;REPT("0",2-LEN(商品年期))&amp;商品年期&amp;"S"&amp;"2"&amp;"A"&amp;REPT("0",2-LEN(A61))&amp;A61,INDIRECT(主約費率表),6,FALSE)*$O$3))</f>
        <v>0</v>
      </c>
      <c r="P61" s="146">
        <f t="shared" si="7"/>
        <v>0</v>
      </c>
      <c r="Q61" s="146">
        <f t="shared" si="8"/>
        <v>0</v>
      </c>
      <c r="R61" s="146">
        <f t="shared" si="9"/>
        <v>0</v>
      </c>
      <c r="S61" s="146">
        <f t="shared" si="10"/>
        <v>0</v>
      </c>
      <c r="T61" s="146">
        <f t="shared" si="11"/>
        <v>0</v>
      </c>
      <c r="U61" s="146" cm="1">
        <f t="array" ref="U61">IF(OR(A61="",$U$3=0),0,IF(ISERROR($U$3),0,ROUND(INDEX(MT_NP,1,職業等級)+(MAX(0,MT保額-3)*INDEX(MT_NP,2,職業等級)),0)))</f>
        <v>0</v>
      </c>
      <c r="V61" s="146">
        <f t="shared" si="12"/>
        <v>0</v>
      </c>
      <c r="W61" s="146">
        <f t="shared" si="13"/>
        <v>0</v>
      </c>
      <c r="X61" s="146">
        <f t="shared" si="18"/>
        <v>0</v>
      </c>
      <c r="Y61" s="146"/>
      <c r="Z61" s="146"/>
      <c r="AA61" s="153"/>
    </row>
    <row r="62" spans="1:27">
      <c r="A62" s="149" t="str">
        <f t="shared" si="16"/>
        <v/>
      </c>
      <c r="B62" s="150">
        <f ca="1">IF(OR(A62="",$B$3=0),0,
IF(AND(照護有術顯示判斷=2,'試算表(16歲-65歲)'!A62&gt;=20,'試算表(16歲-65歲)'!A62&lt;=29),0,
VLOOKUP("P"&amp;REPT("0",2-LEN(商品年期))&amp;商品年期&amp;"S"&amp;"1"&amp;"A"&amp;REPT("0",2-LEN(A62))&amp;A62,INDIRECT(主約費率表),6,FALSE)*$B$3))</f>
        <v>0</v>
      </c>
      <c r="C62" s="150">
        <f t="shared" si="0"/>
        <v>0</v>
      </c>
      <c r="D62" s="150">
        <f t="shared" si="1"/>
        <v>0</v>
      </c>
      <c r="E62" s="150">
        <f t="shared" si="2"/>
        <v>0</v>
      </c>
      <c r="F62" s="150">
        <f t="shared" si="3"/>
        <v>0</v>
      </c>
      <c r="G62" s="151">
        <f t="shared" si="4"/>
        <v>0</v>
      </c>
      <c r="H62" s="151" cm="1">
        <f t="array" ref="H62">IF(OR(A62="",$H$3=0),0,IF(ISERROR($H$3),0,ROUND(INDEX(MT_NP,1,職業等級)+(MAX(0,MT保額-3)*INDEX(MT_NP,2,職業等級)),0)))</f>
        <v>0</v>
      </c>
      <c r="I62" s="150">
        <f t="shared" si="15"/>
        <v>0</v>
      </c>
      <c r="J62" s="150">
        <f t="shared" si="5"/>
        <v>0</v>
      </c>
      <c r="K62" s="150">
        <f t="shared" si="17"/>
        <v>0</v>
      </c>
      <c r="L62" s="150"/>
      <c r="M62" s="150"/>
      <c r="N62" s="152"/>
      <c r="O62" s="146">
        <f ca="1">IF(OR(A62="",$B$3=0),0,
IF(AND(照護有術顯示判斷=2,'試算表(16歲-65歲)'!A62&gt;=20,'試算表(16歲-65歲)'!A62&lt;=29),0,
VLOOKUP("P"&amp;REPT("0",2-LEN(商品年期))&amp;商品年期&amp;"S"&amp;"2"&amp;"A"&amp;REPT("0",2-LEN(A62))&amp;A62,INDIRECT(主約費率表),6,FALSE)*$O$3))</f>
        <v>0</v>
      </c>
      <c r="P62" s="146">
        <f t="shared" si="7"/>
        <v>0</v>
      </c>
      <c r="Q62" s="146">
        <f t="shared" si="8"/>
        <v>0</v>
      </c>
      <c r="R62" s="146">
        <f t="shared" si="9"/>
        <v>0</v>
      </c>
      <c r="S62" s="146">
        <f t="shared" si="10"/>
        <v>0</v>
      </c>
      <c r="T62" s="146">
        <f t="shared" si="11"/>
        <v>0</v>
      </c>
      <c r="U62" s="146" cm="1">
        <f t="array" ref="U62">IF(OR(A62="",$U$3=0),0,IF(ISERROR($U$3),0,ROUND(INDEX(MT_NP,1,職業等級)+(MAX(0,MT保額-3)*INDEX(MT_NP,2,職業等級)),0)))</f>
        <v>0</v>
      </c>
      <c r="V62" s="146">
        <f t="shared" si="12"/>
        <v>0</v>
      </c>
      <c r="W62" s="146">
        <f t="shared" si="13"/>
        <v>0</v>
      </c>
      <c r="X62" s="146">
        <f t="shared" si="18"/>
        <v>0</v>
      </c>
      <c r="Y62" s="146"/>
      <c r="Z62" s="146"/>
      <c r="AA62" s="153"/>
    </row>
    <row r="63" spans="1:27">
      <c r="A63" s="149" t="str">
        <f t="shared" si="16"/>
        <v/>
      </c>
      <c r="B63" s="150">
        <f ca="1">IF(OR(A63="",$B$3=0),0,
IF(AND(照護有術顯示判斷=2,'試算表(16歲-65歲)'!A63&gt;=20,'試算表(16歲-65歲)'!A63&lt;=29),0,
VLOOKUP("P"&amp;REPT("0",2-LEN(商品年期))&amp;商品年期&amp;"S"&amp;"1"&amp;"A"&amp;REPT("0",2-LEN(A63))&amp;A63,INDIRECT(主約費率表),6,FALSE)*$B$3))</f>
        <v>0</v>
      </c>
      <c r="C63" s="150">
        <f t="shared" si="0"/>
        <v>0</v>
      </c>
      <c r="D63" s="150">
        <f t="shared" si="1"/>
        <v>0</v>
      </c>
      <c r="E63" s="150">
        <f t="shared" si="2"/>
        <v>0</v>
      </c>
      <c r="F63" s="150">
        <f t="shared" si="3"/>
        <v>0</v>
      </c>
      <c r="G63" s="151">
        <f t="shared" si="4"/>
        <v>0</v>
      </c>
      <c r="H63" s="151" cm="1">
        <f t="array" ref="H63">IF(OR(A63="",$H$3=0),0,IF(ISERROR($H$3),0,ROUND(INDEX(MT_NP,1,職業等級)+(MAX(0,MT保額-3)*INDEX(MT_NP,2,職業等級)),0)))</f>
        <v>0</v>
      </c>
      <c r="I63" s="150">
        <f t="shared" si="15"/>
        <v>0</v>
      </c>
      <c r="J63" s="150">
        <f t="shared" si="5"/>
        <v>0</v>
      </c>
      <c r="K63" s="150">
        <f t="shared" si="17"/>
        <v>0</v>
      </c>
      <c r="L63" s="150"/>
      <c r="M63" s="150"/>
      <c r="N63" s="152"/>
      <c r="O63" s="146">
        <f ca="1">IF(OR(A63="",$B$3=0),0,
IF(AND(照護有術顯示判斷=2,'試算表(16歲-65歲)'!A63&gt;=20,'試算表(16歲-65歲)'!A63&lt;=29),0,
VLOOKUP("P"&amp;REPT("0",2-LEN(商品年期))&amp;商品年期&amp;"S"&amp;"2"&amp;"A"&amp;REPT("0",2-LEN(A63))&amp;A63,INDIRECT(主約費率表),6,FALSE)*$O$3))</f>
        <v>0</v>
      </c>
      <c r="P63" s="146">
        <f t="shared" si="7"/>
        <v>0</v>
      </c>
      <c r="Q63" s="146">
        <f t="shared" si="8"/>
        <v>0</v>
      </c>
      <c r="R63" s="146">
        <f t="shared" si="9"/>
        <v>0</v>
      </c>
      <c r="S63" s="146">
        <f t="shared" si="10"/>
        <v>0</v>
      </c>
      <c r="T63" s="146">
        <f t="shared" si="11"/>
        <v>0</v>
      </c>
      <c r="U63" s="146" cm="1">
        <f t="array" ref="U63">IF(OR(A63="",$U$3=0),0,IF(ISERROR($U$3),0,ROUND(INDEX(MT_NP,1,職業等級)+(MAX(0,MT保額-3)*INDEX(MT_NP,2,職業等級)),0)))</f>
        <v>0</v>
      </c>
      <c r="V63" s="146">
        <f t="shared" si="12"/>
        <v>0</v>
      </c>
      <c r="W63" s="146">
        <f t="shared" si="13"/>
        <v>0</v>
      </c>
      <c r="X63" s="146">
        <f t="shared" si="18"/>
        <v>0</v>
      </c>
      <c r="Y63" s="146"/>
      <c r="Z63" s="146"/>
      <c r="AA63" s="153"/>
    </row>
    <row r="64" spans="1:27">
      <c r="A64" s="149" t="str">
        <f t="shared" si="16"/>
        <v/>
      </c>
      <c r="B64" s="150">
        <f ca="1">IF(OR(A64="",$B$3=0),0,
IF(AND(照護有術顯示判斷=2,'試算表(16歲-65歲)'!A64&gt;=20,'試算表(16歲-65歲)'!A64&lt;=29),0,
VLOOKUP("P"&amp;REPT("0",2-LEN(商品年期))&amp;商品年期&amp;"S"&amp;"1"&amp;"A"&amp;REPT("0",2-LEN(A64))&amp;A64,INDIRECT(主約費率表),6,FALSE)*$B$3))</f>
        <v>0</v>
      </c>
      <c r="C64" s="150">
        <f t="shared" si="0"/>
        <v>0</v>
      </c>
      <c r="D64" s="150">
        <f t="shared" si="1"/>
        <v>0</v>
      </c>
      <c r="E64" s="150">
        <f t="shared" si="2"/>
        <v>0</v>
      </c>
      <c r="F64" s="150">
        <f t="shared" si="3"/>
        <v>0</v>
      </c>
      <c r="G64" s="151">
        <f t="shared" si="4"/>
        <v>0</v>
      </c>
      <c r="H64" s="151" cm="1">
        <f t="array" ref="H64">IF(OR(A64="",$H$3=0),0,IF(ISERROR($H$3),0,ROUND(INDEX(MT_NP,1,職業等級)+(MAX(0,MT保額-3)*INDEX(MT_NP,2,職業等級)),0)))</f>
        <v>0</v>
      </c>
      <c r="I64" s="150">
        <f t="shared" si="15"/>
        <v>0</v>
      </c>
      <c r="J64" s="150">
        <f t="shared" si="5"/>
        <v>0</v>
      </c>
      <c r="K64" s="150">
        <f t="shared" si="17"/>
        <v>0</v>
      </c>
      <c r="L64" s="150"/>
      <c r="M64" s="150"/>
      <c r="N64" s="152"/>
      <c r="O64" s="146">
        <f ca="1">IF(OR(A64="",$B$3=0),0,
IF(AND(照護有術顯示判斷=2,'試算表(16歲-65歲)'!A64&gt;=20,'試算表(16歲-65歲)'!A64&lt;=29),0,
VLOOKUP("P"&amp;REPT("0",2-LEN(商品年期))&amp;商品年期&amp;"S"&amp;"2"&amp;"A"&amp;REPT("0",2-LEN(A64))&amp;A64,INDIRECT(主約費率表),6,FALSE)*$O$3))</f>
        <v>0</v>
      </c>
      <c r="P64" s="146">
        <f t="shared" si="7"/>
        <v>0</v>
      </c>
      <c r="Q64" s="146">
        <f t="shared" si="8"/>
        <v>0</v>
      </c>
      <c r="R64" s="146">
        <f t="shared" si="9"/>
        <v>0</v>
      </c>
      <c r="S64" s="146">
        <f t="shared" si="10"/>
        <v>0</v>
      </c>
      <c r="T64" s="146">
        <f t="shared" si="11"/>
        <v>0</v>
      </c>
      <c r="U64" s="146" cm="1">
        <f t="array" ref="U64">IF(OR(A64="",$U$3=0),0,IF(ISERROR($U$3),0,ROUND(INDEX(MT_NP,1,職業等級)+(MAX(0,MT保額-3)*INDEX(MT_NP,2,職業等級)),0)))</f>
        <v>0</v>
      </c>
      <c r="V64" s="146">
        <f t="shared" si="12"/>
        <v>0</v>
      </c>
      <c r="W64" s="146">
        <f t="shared" si="13"/>
        <v>0</v>
      </c>
      <c r="X64" s="146">
        <f t="shared" si="18"/>
        <v>0</v>
      </c>
      <c r="Y64" s="146"/>
      <c r="Z64" s="146"/>
      <c r="AA64" s="153"/>
    </row>
    <row r="65" spans="1:27">
      <c r="A65" s="149" t="str">
        <f t="shared" si="16"/>
        <v/>
      </c>
      <c r="B65" s="150">
        <f ca="1">IF(OR(A65="",$B$3=0),0,
IF(AND(照護有術顯示判斷=2,'試算表(16歲-65歲)'!A65&gt;=20,'試算表(16歲-65歲)'!A65&lt;=29),0,
VLOOKUP("P"&amp;REPT("0",2-LEN(商品年期))&amp;商品年期&amp;"S"&amp;"1"&amp;"A"&amp;REPT("0",2-LEN(A65))&amp;A65,INDIRECT(主約費率表),6,FALSE)*$B$3))</f>
        <v>0</v>
      </c>
      <c r="C65" s="150">
        <f t="shared" si="0"/>
        <v>0</v>
      </c>
      <c r="D65" s="150">
        <f t="shared" si="1"/>
        <v>0</v>
      </c>
      <c r="E65" s="150">
        <f t="shared" si="2"/>
        <v>0</v>
      </c>
      <c r="F65" s="150">
        <f t="shared" si="3"/>
        <v>0</v>
      </c>
      <c r="G65" s="151">
        <f t="shared" si="4"/>
        <v>0</v>
      </c>
      <c r="H65" s="151" cm="1">
        <f t="array" ref="H65">IF(OR(A65="",$H$3=0),0,IF(ISERROR($H$3),0,ROUND(INDEX(MT_NP,1,職業等級)+(MAX(0,MT保額-3)*INDEX(MT_NP,2,職業等級)),0)))</f>
        <v>0</v>
      </c>
      <c r="I65" s="150">
        <f t="shared" si="15"/>
        <v>0</v>
      </c>
      <c r="J65" s="150">
        <f t="shared" si="5"/>
        <v>0</v>
      </c>
      <c r="K65" s="150">
        <f t="shared" si="17"/>
        <v>0</v>
      </c>
      <c r="L65" s="150"/>
      <c r="M65" s="150"/>
      <c r="N65" s="152"/>
      <c r="O65" s="146">
        <f ca="1">IF(OR(A65="",$B$3=0),0,
IF(AND(照護有術顯示判斷=2,'試算表(16歲-65歲)'!A65&gt;=20,'試算表(16歲-65歲)'!A65&lt;=29),0,
VLOOKUP("P"&amp;REPT("0",2-LEN(商品年期))&amp;商品年期&amp;"S"&amp;"2"&amp;"A"&amp;REPT("0",2-LEN(A65))&amp;A65,INDIRECT(主約費率表),6,FALSE)*$O$3))</f>
        <v>0</v>
      </c>
      <c r="P65" s="146">
        <f t="shared" si="7"/>
        <v>0</v>
      </c>
      <c r="Q65" s="146">
        <f t="shared" si="8"/>
        <v>0</v>
      </c>
      <c r="R65" s="146">
        <f t="shared" si="9"/>
        <v>0</v>
      </c>
      <c r="S65" s="146">
        <f t="shared" si="10"/>
        <v>0</v>
      </c>
      <c r="T65" s="146">
        <f t="shared" si="11"/>
        <v>0</v>
      </c>
      <c r="U65" s="146" cm="1">
        <f t="array" ref="U65">IF(OR(A65="",$U$3=0),0,IF(ISERROR($U$3),0,ROUND(INDEX(MT_NP,1,職業等級)+(MAX(0,MT保額-3)*INDEX(MT_NP,2,職業等級)),0)))</f>
        <v>0</v>
      </c>
      <c r="V65" s="146">
        <f t="shared" si="12"/>
        <v>0</v>
      </c>
      <c r="W65" s="146">
        <f t="shared" si="13"/>
        <v>0</v>
      </c>
      <c r="X65" s="146">
        <f t="shared" si="18"/>
        <v>0</v>
      </c>
      <c r="Y65" s="146"/>
      <c r="Z65" s="146"/>
      <c r="AA65" s="153"/>
    </row>
    <row r="66" spans="1:27">
      <c r="A66" s="149" t="str">
        <f t="shared" si="16"/>
        <v/>
      </c>
      <c r="B66" s="150">
        <f ca="1">IF(OR(A66="",$B$3=0),0,
IF(AND(照護有術顯示判斷=2,'試算表(16歲-65歲)'!A66&gt;=20,'試算表(16歲-65歲)'!A66&lt;=29),0,
VLOOKUP("P"&amp;REPT("0",2-LEN(商品年期))&amp;商品年期&amp;"S"&amp;"1"&amp;"A"&amp;REPT("0",2-LEN(A66))&amp;A66,INDIRECT(主約費率表),6,FALSE)*$B$3))</f>
        <v>0</v>
      </c>
      <c r="C66" s="150">
        <f t="shared" si="0"/>
        <v>0</v>
      </c>
      <c r="D66" s="150">
        <f t="shared" si="1"/>
        <v>0</v>
      </c>
      <c r="E66" s="150">
        <f t="shared" si="2"/>
        <v>0</v>
      </c>
      <c r="F66" s="150">
        <f t="shared" si="3"/>
        <v>0</v>
      </c>
      <c r="G66" s="151">
        <f t="shared" si="4"/>
        <v>0</v>
      </c>
      <c r="H66" s="151" cm="1">
        <f t="array" ref="H66">IF(OR(A66="",$H$3=0),0,IF(ISERROR($H$3),0,ROUND(INDEX(MT_NP,1,職業等級)+(MAX(0,MT保額-3)*INDEX(MT_NP,2,職業等級)),0)))</f>
        <v>0</v>
      </c>
      <c r="I66" s="150">
        <f t="shared" si="15"/>
        <v>0</v>
      </c>
      <c r="J66" s="150">
        <f t="shared" si="5"/>
        <v>0</v>
      </c>
      <c r="K66" s="150">
        <f t="shared" si="17"/>
        <v>0</v>
      </c>
      <c r="L66" s="150"/>
      <c r="M66" s="150"/>
      <c r="N66" s="152"/>
      <c r="O66" s="146">
        <f ca="1">IF(OR(A66="",$B$3=0),0,
IF(AND(照護有術顯示判斷=2,'試算表(16歲-65歲)'!A66&gt;=20,'試算表(16歲-65歲)'!A66&lt;=29),0,
VLOOKUP("P"&amp;REPT("0",2-LEN(商品年期))&amp;商品年期&amp;"S"&amp;"2"&amp;"A"&amp;REPT("0",2-LEN(A66))&amp;A66,INDIRECT(主約費率表),6,FALSE)*$O$3))</f>
        <v>0</v>
      </c>
      <c r="P66" s="146">
        <f t="shared" si="7"/>
        <v>0</v>
      </c>
      <c r="Q66" s="146">
        <f t="shared" si="8"/>
        <v>0</v>
      </c>
      <c r="R66" s="146">
        <f t="shared" si="9"/>
        <v>0</v>
      </c>
      <c r="S66" s="146">
        <f t="shared" si="10"/>
        <v>0</v>
      </c>
      <c r="T66" s="146">
        <f t="shared" si="11"/>
        <v>0</v>
      </c>
      <c r="U66" s="146" cm="1">
        <f t="array" ref="U66">IF(OR(A66="",$U$3=0),0,IF(ISERROR($U$3),0,ROUND(INDEX(MT_NP,1,職業等級)+(MAX(0,MT保額-3)*INDEX(MT_NP,2,職業等級)),0)))</f>
        <v>0</v>
      </c>
      <c r="V66" s="146">
        <f t="shared" si="12"/>
        <v>0</v>
      </c>
      <c r="W66" s="146">
        <f t="shared" si="13"/>
        <v>0</v>
      </c>
      <c r="X66" s="146">
        <f t="shared" si="18"/>
        <v>0</v>
      </c>
      <c r="Y66" s="146"/>
      <c r="Z66" s="146"/>
      <c r="AA66" s="153"/>
    </row>
    <row r="67" spans="1:27">
      <c r="A67" s="149" t="str">
        <f t="shared" si="16"/>
        <v/>
      </c>
      <c r="B67" s="150">
        <f ca="1">IF(OR(A67="",$B$3=0),0,
IF(AND(照護有術顯示判斷=2,'試算表(16歲-65歲)'!A67&gt;=20,'試算表(16歲-65歲)'!A67&lt;=29),0,
VLOOKUP("P"&amp;REPT("0",2-LEN(商品年期))&amp;商品年期&amp;"S"&amp;"1"&amp;"A"&amp;REPT("0",2-LEN(A67))&amp;A67,INDIRECT(主約費率表),6,FALSE)*$B$3))</f>
        <v>0</v>
      </c>
      <c r="C67" s="150">
        <f t="shared" si="0"/>
        <v>0</v>
      </c>
      <c r="D67" s="150">
        <f t="shared" si="1"/>
        <v>0</v>
      </c>
      <c r="E67" s="150">
        <f t="shared" si="2"/>
        <v>0</v>
      </c>
      <c r="F67" s="150">
        <f t="shared" si="3"/>
        <v>0</v>
      </c>
      <c r="G67" s="151">
        <f t="shared" si="4"/>
        <v>0</v>
      </c>
      <c r="H67" s="151" cm="1">
        <f t="array" ref="H67">IF(OR(A67="",$H$3=0),0,IF(ISERROR($H$3),0,ROUND(INDEX(MT_NP,1,職業等級)+(MAX(0,MT保額-3)*INDEX(MT_NP,2,職業等級)),0)))</f>
        <v>0</v>
      </c>
      <c r="I67" s="150">
        <f t="shared" si="15"/>
        <v>0</v>
      </c>
      <c r="J67" s="150">
        <f t="shared" si="5"/>
        <v>0</v>
      </c>
      <c r="K67" s="150">
        <f t="shared" si="17"/>
        <v>0</v>
      </c>
      <c r="L67" s="150"/>
      <c r="M67" s="150"/>
      <c r="N67" s="152"/>
      <c r="O67" s="146">
        <f ca="1">IF(OR(A67="",$B$3=0),0,
IF(AND(照護有術顯示判斷=2,'試算表(16歲-65歲)'!A67&gt;=20,'試算表(16歲-65歲)'!A67&lt;=29),0,
VLOOKUP("P"&amp;REPT("0",2-LEN(商品年期))&amp;商品年期&amp;"S"&amp;"2"&amp;"A"&amp;REPT("0",2-LEN(A67))&amp;A67,INDIRECT(主約費率表),6,FALSE)*$O$3))</f>
        <v>0</v>
      </c>
      <c r="P67" s="146">
        <f t="shared" si="7"/>
        <v>0</v>
      </c>
      <c r="Q67" s="146">
        <f t="shared" si="8"/>
        <v>0</v>
      </c>
      <c r="R67" s="146">
        <f t="shared" si="9"/>
        <v>0</v>
      </c>
      <c r="S67" s="146">
        <f t="shared" si="10"/>
        <v>0</v>
      </c>
      <c r="T67" s="146">
        <f t="shared" si="11"/>
        <v>0</v>
      </c>
      <c r="U67" s="146" cm="1">
        <f t="array" ref="U67">IF(OR(A67="",$U$3=0),0,IF(ISERROR($U$3),0,ROUND(INDEX(MT_NP,1,職業等級)+(MAX(0,MT保額-3)*INDEX(MT_NP,2,職業等級)),0)))</f>
        <v>0</v>
      </c>
      <c r="V67" s="146">
        <f t="shared" si="12"/>
        <v>0</v>
      </c>
      <c r="W67" s="146">
        <f t="shared" si="13"/>
        <v>0</v>
      </c>
      <c r="X67" s="146">
        <f t="shared" si="18"/>
        <v>0</v>
      </c>
      <c r="Y67" s="146"/>
      <c r="Z67" s="146"/>
      <c r="AA67" s="153"/>
    </row>
    <row r="68" spans="1:27">
      <c r="A68" s="149" t="str">
        <f t="shared" si="16"/>
        <v/>
      </c>
      <c r="B68" s="150">
        <f ca="1">IF(OR(A68="",$B$3=0),0,
IF(AND(照護有術顯示判斷=2,'試算表(16歲-65歲)'!A68&gt;=20,'試算表(16歲-65歲)'!A68&lt;=29),0,
VLOOKUP("P"&amp;REPT("0",2-LEN(商品年期))&amp;商品年期&amp;"S"&amp;"1"&amp;"A"&amp;REPT("0",2-LEN(A68))&amp;A68,INDIRECT(主約費率表),6,FALSE)*$B$3))</f>
        <v>0</v>
      </c>
      <c r="C68" s="150">
        <f t="shared" ref="C68:C90" si="19">IF(OR(A68="",$C$3=0),0,IF(ISERROR($C$3),0,ROUND($C$3*VLOOKUP("P"&amp;REPT("0",2-LEN(BNLTRN1繳費年期))&amp;BNLTRN1繳費年期&amp;"S"&amp;"1"&amp;"A"&amp;REPT("0",2-LEN(A68))&amp;A68,BNLTRN1_NP,6,FALSE),0)))</f>
        <v>0</v>
      </c>
      <c r="D68" s="150">
        <f t="shared" ref="D68:D90" si="20">IF(OR(A68="",$D$3=0),0,IF(ISERROR($D$3),0,ROUND($D$3*VLOOKUP(""&amp;A68,ADDNTR1_NP,2,FALSE),0)))</f>
        <v>0</v>
      </c>
      <c r="E68" s="150">
        <f t="shared" ref="E68:E90" si="21">IF(OR(A68="",$E$3=0),0,IF(ISERROR($E$3),0,ROUND(VLOOKUP("P"&amp;AMRNTR1計劃&amp;"S"&amp;"1"&amp;"A"&amp;REPT("0",2-LEN(A68))&amp;A68,AMRNTR1_NP,6,FALSE),0)))</f>
        <v>0</v>
      </c>
      <c r="F68" s="150">
        <f t="shared" ref="F68:F90" si="22">IF(OR(A68="",$F$3=0),0,IF(ISERROR($F$3),0,ROUND($F$3*VLOOKUP(IF(A68&lt;15,1,IF(A68=15,2,3)),DPAA_NP,2+職業等級,FALSE),0)))</f>
        <v>0</v>
      </c>
      <c r="G68" s="151">
        <f t="shared" ref="G68:G90" si="23">IF(OR(A68="",$G$3=0),0,IF(ISERROR($G$3),0,ROUND(VLOOKUP("ML-"&amp;ML計劃,ML_NP,1+職業等級,FALSE),0)))</f>
        <v>0</v>
      </c>
      <c r="H68" s="151" cm="1">
        <f t="array" ref="H68">IF(OR(A68="",$H$3=0),0,IF(ISERROR($H$3),0,ROUND(INDEX(MT_NP,1,職業等級)+(MAX(0,MT保額-3)*INDEX(MT_NP,2,職業等級)),0)))</f>
        <v>0</v>
      </c>
      <c r="I68" s="150">
        <f t="shared" ref="I68:I90" si="24">IF(OR(A68="",$I$3=0),0,IF(ISERROR($I$3),0,ROUND($I$3*IF(ISERROR(VLOOKUP("P10"&amp;"S"&amp;"1"&amp;"A"&amp;REPT("0",2-LEN(A68))&amp;A68,ACCNTR1_NP,5,FALSE)),0,VLOOKUP("P10"&amp;"S"&amp;"1"&amp;"A"&amp;REPT("0",2-LEN(A68))&amp;A68,ACCNTR1_NP,5,FALSE)),0)))</f>
        <v>0</v>
      </c>
      <c r="J68" s="150">
        <f t="shared" ref="J68:J90" si="25">IF(OR(A68="",$J$3=0),0,IF(ISERROR($J$3),0,ROUND($J$3*VLOOKUP("P01"&amp;"S"&amp;"1"&amp;"A"&amp;REPT("0",2-LEN(A68))&amp;A68,ACCNTR2_NP,5,FALSE),0)))</f>
        <v>0</v>
      </c>
      <c r="K68" s="150">
        <f t="shared" ref="K68:K90" si="26">IF(OR(A68="",$K$3=0),0,IF(ISERROR($K$3),0,ROUND($K$3*VLOOKUP("P01"&amp;"S"&amp;"1"&amp;"A"&amp;REPT("0",2-LEN(A68))&amp;A68,ACCNTR3_NP,5,FALSE),0)))</f>
        <v>0</v>
      </c>
      <c r="L68" s="150"/>
      <c r="M68" s="150"/>
      <c r="N68" s="152"/>
      <c r="O68" s="146">
        <f ca="1">IF(OR(A68="",$B$3=0),0,
IF(AND(照護有術顯示判斷=2,'試算表(16歲-65歲)'!A68&gt;=20,'試算表(16歲-65歲)'!A68&lt;=29),0,
VLOOKUP("P"&amp;REPT("0",2-LEN(商品年期))&amp;商品年期&amp;"S"&amp;"2"&amp;"A"&amp;REPT("0",2-LEN(A68))&amp;A68,INDIRECT(主約費率表),6,FALSE)*$O$3))</f>
        <v>0</v>
      </c>
      <c r="P68" s="146">
        <f t="shared" ref="P68:P90" si="27">IF(OR(A68="",$P$3=0),0,IF(ISERROR($P$3),0,ROUND($P$3*VLOOKUP("P"&amp;REPT("0",2-LEN(BNLTRN1繳費年期))&amp;BNLTRN1繳費年期&amp;"S"&amp;"2"&amp;"A"&amp;REPT("0",2-LEN(A68))&amp;A68,BNLTRN1_NP,6,FALSE),0)))</f>
        <v>0</v>
      </c>
      <c r="Q68" s="146">
        <f t="shared" ref="Q68:Q90" si="28">IF(OR(A68="",$Q$3=0),0,IF(ISERROR($Q$3),0,ROUND($Q$3*VLOOKUP(""&amp;A68,ADDNTR1_NP,3,FALSE),0)))</f>
        <v>0</v>
      </c>
      <c r="R68" s="146">
        <f t="shared" ref="R68:R90" si="29">IF(OR(A68="",$R$3=0),0,IF(ISERROR($R$3),0,ROUND(VLOOKUP("P"&amp;AMRNTR1計劃&amp;"S"&amp;"2"&amp;"A"&amp;REPT("0",2-LEN(A68))&amp;A68,AMRNTR1_NP,6,FALSE),0)))</f>
        <v>0</v>
      </c>
      <c r="S68" s="146">
        <f t="shared" ref="S68:S90" si="30">IF(OR(A68="",$S$3=0),0,IF(ISERROR($S$3),0,ROUND($S$3*VLOOKUP(IF(A68&lt;15,1,IF(A68=15,2,3)),DPAA_NP,2+職業等級,FALSE),0)))</f>
        <v>0</v>
      </c>
      <c r="T68" s="146">
        <f t="shared" ref="T68:T90" si="31">IF(OR(A68="",$T$3=0),0,IF(ISERROR($T$3),0,ROUND(VLOOKUP("ML-"&amp;ML計劃,ML_NP,1+職業等級,FALSE),0)))</f>
        <v>0</v>
      </c>
      <c r="U68" s="146" cm="1">
        <f t="array" ref="U68">IF(OR(A68="",$U$3=0),0,IF(ISERROR($U$3),0,ROUND(INDEX(MT_NP,1,職業等級)+(MAX(0,MT保額-3)*INDEX(MT_NP,2,職業等級)),0)))</f>
        <v>0</v>
      </c>
      <c r="V68" s="146">
        <f t="shared" ref="V68:V90" si="32">IF(OR(A68="",$V$3=0),0,IF(ISERROR($V$3),0,ROUND($V$3*IF(ISERROR(VLOOKUP("P10"&amp;"S"&amp;"2"&amp;"A"&amp;REPT("0",2-LEN(A68))&amp;A68,ACCNTR1_NP,5,FALSE)),0,VLOOKUP("P10"&amp;"S"&amp;"2"&amp;"A"&amp;REPT("0",2-LEN(A68))&amp;A68,ACCNTR1_NP,5,FALSE)),0)))</f>
        <v>0</v>
      </c>
      <c r="W68" s="146">
        <f t="shared" ref="W68:W90" si="33">IF(OR(A68="",$W$3=0),0,IF(ISERROR($W$3),0,ROUND($W$3*VLOOKUP("P01"&amp;"S"&amp;"2"&amp;"A"&amp;REPT("0",2-LEN(A68))&amp;A68,ACCNTR2_NP,5,FALSE),0)))</f>
        <v>0</v>
      </c>
      <c r="X68" s="146">
        <f t="shared" ref="X68:X90" si="34">IF(OR(A68="",$X$3=0),0,IF(ISERROR($X$3),0,ROUND($X$3*VLOOKUP("P01"&amp;"S"&amp;"2"&amp;"A"&amp;REPT("0",2-LEN(A68))&amp;A68,ACCNTR3_NP,5,FALSE),0)))</f>
        <v>0</v>
      </c>
      <c r="Y68" s="146"/>
      <c r="Z68" s="146"/>
      <c r="AA68" s="153"/>
    </row>
    <row r="69" spans="1:27">
      <c r="A69" s="149" t="str">
        <f t="shared" si="16"/>
        <v/>
      </c>
      <c r="B69" s="150">
        <f ca="1">IF(OR(A69="",$B$3=0),0,
IF(AND(照護有術顯示判斷=2,'試算表(16歲-65歲)'!A69&gt;=20,'試算表(16歲-65歲)'!A69&lt;=29),0,
VLOOKUP("P"&amp;REPT("0",2-LEN(商品年期))&amp;商品年期&amp;"S"&amp;"1"&amp;"A"&amp;REPT("0",2-LEN(A69))&amp;A69,INDIRECT(主約費率表),6,FALSE)*$B$3))</f>
        <v>0</v>
      </c>
      <c r="C69" s="150">
        <f t="shared" si="19"/>
        <v>0</v>
      </c>
      <c r="D69" s="150">
        <f t="shared" si="20"/>
        <v>0</v>
      </c>
      <c r="E69" s="150">
        <f t="shared" si="21"/>
        <v>0</v>
      </c>
      <c r="F69" s="150">
        <f t="shared" si="22"/>
        <v>0</v>
      </c>
      <c r="G69" s="151">
        <f t="shared" si="23"/>
        <v>0</v>
      </c>
      <c r="H69" s="151" cm="1">
        <f t="array" ref="H69">IF(OR(A69="",$H$3=0),0,IF(ISERROR($H$3),0,ROUND(INDEX(MT_NP,1,職業等級)+(MAX(0,MT保額-3)*INDEX(MT_NP,2,職業等級)),0)))</f>
        <v>0</v>
      </c>
      <c r="I69" s="150">
        <f t="shared" si="24"/>
        <v>0</v>
      </c>
      <c r="J69" s="150">
        <f t="shared" si="25"/>
        <v>0</v>
      </c>
      <c r="K69" s="150">
        <f t="shared" si="26"/>
        <v>0</v>
      </c>
      <c r="L69" s="150"/>
      <c r="M69" s="150"/>
      <c r="N69" s="152"/>
      <c r="O69" s="146">
        <f ca="1">IF(OR(A69="",$B$3=0),0,
IF(AND(照護有術顯示判斷=2,'試算表(16歲-65歲)'!A69&gt;=20,'試算表(16歲-65歲)'!A69&lt;=29),0,
VLOOKUP("P"&amp;REPT("0",2-LEN(商品年期))&amp;商品年期&amp;"S"&amp;"2"&amp;"A"&amp;REPT("0",2-LEN(A69))&amp;A69,INDIRECT(主約費率表),6,FALSE)*$O$3))</f>
        <v>0</v>
      </c>
      <c r="P69" s="146">
        <f t="shared" si="27"/>
        <v>0</v>
      </c>
      <c r="Q69" s="146">
        <f t="shared" si="28"/>
        <v>0</v>
      </c>
      <c r="R69" s="146">
        <f t="shared" si="29"/>
        <v>0</v>
      </c>
      <c r="S69" s="146">
        <f t="shared" si="30"/>
        <v>0</v>
      </c>
      <c r="T69" s="146">
        <f t="shared" si="31"/>
        <v>0</v>
      </c>
      <c r="U69" s="146" cm="1">
        <f t="array" ref="U69">IF(OR(A69="",$U$3=0),0,IF(ISERROR($U$3),0,ROUND(INDEX(MT_NP,1,職業等級)+(MAX(0,MT保額-3)*INDEX(MT_NP,2,職業等級)),0)))</f>
        <v>0</v>
      </c>
      <c r="V69" s="146">
        <f t="shared" si="32"/>
        <v>0</v>
      </c>
      <c r="W69" s="146">
        <f t="shared" si="33"/>
        <v>0</v>
      </c>
      <c r="X69" s="146">
        <f t="shared" si="34"/>
        <v>0</v>
      </c>
      <c r="Y69" s="146"/>
      <c r="Z69" s="146"/>
      <c r="AA69" s="153"/>
    </row>
    <row r="70" spans="1:27">
      <c r="A70" s="149" t="str">
        <f t="shared" ref="A70:A90" si="35">IF(A69="","",IF(A69+1&gt;15,"",A69+1))</f>
        <v/>
      </c>
      <c r="B70" s="150">
        <f ca="1">IF(OR(A70="",$B$3=0),0,
IF(AND(照護有術顯示判斷=2,'試算表(16歲-65歲)'!A70&gt;=20,'試算表(16歲-65歲)'!A70&lt;=29),0,
VLOOKUP("P"&amp;REPT("0",2-LEN(商品年期))&amp;商品年期&amp;"S"&amp;"1"&amp;"A"&amp;REPT("0",2-LEN(A70))&amp;A70,INDIRECT(主約費率表),6,FALSE)*$B$3))</f>
        <v>0</v>
      </c>
      <c r="C70" s="150">
        <f t="shared" si="19"/>
        <v>0</v>
      </c>
      <c r="D70" s="150">
        <f t="shared" si="20"/>
        <v>0</v>
      </c>
      <c r="E70" s="150">
        <f t="shared" si="21"/>
        <v>0</v>
      </c>
      <c r="F70" s="150">
        <f t="shared" si="22"/>
        <v>0</v>
      </c>
      <c r="G70" s="151">
        <f t="shared" si="23"/>
        <v>0</v>
      </c>
      <c r="H70" s="151" cm="1">
        <f t="array" ref="H70">IF(OR(A70="",$H$3=0),0,IF(ISERROR($H$3),0,ROUND(INDEX(MT_NP,1,職業等級)+(MAX(0,MT保額-3)*INDEX(MT_NP,2,職業等級)),0)))</f>
        <v>0</v>
      </c>
      <c r="I70" s="150">
        <f t="shared" si="24"/>
        <v>0</v>
      </c>
      <c r="J70" s="150">
        <f t="shared" si="25"/>
        <v>0</v>
      </c>
      <c r="K70" s="150">
        <f t="shared" si="26"/>
        <v>0</v>
      </c>
      <c r="L70" s="150"/>
      <c r="M70" s="150"/>
      <c r="N70" s="152"/>
      <c r="O70" s="146">
        <f ca="1">IF(OR(A70="",$B$3=0),0,
IF(AND(照護有術顯示判斷=2,'試算表(16歲-65歲)'!A70&gt;=20,'試算表(16歲-65歲)'!A70&lt;=29),0,
VLOOKUP("P"&amp;REPT("0",2-LEN(商品年期))&amp;商品年期&amp;"S"&amp;"2"&amp;"A"&amp;REPT("0",2-LEN(A70))&amp;A70,INDIRECT(主約費率表),6,FALSE)*$O$3))</f>
        <v>0</v>
      </c>
      <c r="P70" s="146">
        <f t="shared" si="27"/>
        <v>0</v>
      </c>
      <c r="Q70" s="146">
        <f t="shared" si="28"/>
        <v>0</v>
      </c>
      <c r="R70" s="146">
        <f t="shared" si="29"/>
        <v>0</v>
      </c>
      <c r="S70" s="146">
        <f t="shared" si="30"/>
        <v>0</v>
      </c>
      <c r="T70" s="146">
        <f t="shared" si="31"/>
        <v>0</v>
      </c>
      <c r="U70" s="146" cm="1">
        <f t="array" ref="U70">IF(OR(A70="",$U$3=0),0,IF(ISERROR($U$3),0,ROUND(INDEX(MT_NP,1,職業等級)+(MAX(0,MT保額-3)*INDEX(MT_NP,2,職業等級)),0)))</f>
        <v>0</v>
      </c>
      <c r="V70" s="146">
        <f t="shared" si="32"/>
        <v>0</v>
      </c>
      <c r="W70" s="146">
        <f t="shared" si="33"/>
        <v>0</v>
      </c>
      <c r="X70" s="146">
        <f t="shared" si="34"/>
        <v>0</v>
      </c>
      <c r="Y70" s="146"/>
      <c r="Z70" s="146"/>
      <c r="AA70" s="153"/>
    </row>
    <row r="71" spans="1:27">
      <c r="A71" s="149" t="str">
        <f t="shared" si="35"/>
        <v/>
      </c>
      <c r="B71" s="150">
        <f ca="1">IF(OR(A71="",$B$3=0),0,
IF(AND(照護有術顯示判斷=2,'試算表(16歲-65歲)'!A71&gt;=20,'試算表(16歲-65歲)'!A71&lt;=29),0,
VLOOKUP("P"&amp;REPT("0",2-LEN(商品年期))&amp;商品年期&amp;"S"&amp;"1"&amp;"A"&amp;REPT("0",2-LEN(A71))&amp;A71,INDIRECT(主約費率表),6,FALSE)*$B$3))</f>
        <v>0</v>
      </c>
      <c r="C71" s="150">
        <f t="shared" si="19"/>
        <v>0</v>
      </c>
      <c r="D71" s="150">
        <f t="shared" si="20"/>
        <v>0</v>
      </c>
      <c r="E71" s="150">
        <f t="shared" si="21"/>
        <v>0</v>
      </c>
      <c r="F71" s="150">
        <f t="shared" si="22"/>
        <v>0</v>
      </c>
      <c r="G71" s="151">
        <f t="shared" si="23"/>
        <v>0</v>
      </c>
      <c r="H71" s="151" cm="1">
        <f t="array" ref="H71">IF(OR(A71="",$H$3=0),0,IF(ISERROR($H$3),0,ROUND(INDEX(MT_NP,1,職業等級)+(MAX(0,MT保額-3)*INDEX(MT_NP,2,職業等級)),0)))</f>
        <v>0</v>
      </c>
      <c r="I71" s="150">
        <f t="shared" si="24"/>
        <v>0</v>
      </c>
      <c r="J71" s="150">
        <f t="shared" si="25"/>
        <v>0</v>
      </c>
      <c r="K71" s="150">
        <f t="shared" si="26"/>
        <v>0</v>
      </c>
      <c r="L71" s="150"/>
      <c r="M71" s="150"/>
      <c r="N71" s="152"/>
      <c r="O71" s="146">
        <f ca="1">IF(OR(A71="",$B$3=0),0,
IF(AND(照護有術顯示判斷=2,'試算表(16歲-65歲)'!A71&gt;=20,'試算表(16歲-65歲)'!A71&lt;=29),0,
VLOOKUP("P"&amp;REPT("0",2-LEN(商品年期))&amp;商品年期&amp;"S"&amp;"2"&amp;"A"&amp;REPT("0",2-LEN(A71))&amp;A71,INDIRECT(主約費率表),6,FALSE)*$O$3))</f>
        <v>0</v>
      </c>
      <c r="P71" s="146">
        <f t="shared" si="27"/>
        <v>0</v>
      </c>
      <c r="Q71" s="146">
        <f t="shared" si="28"/>
        <v>0</v>
      </c>
      <c r="R71" s="146">
        <f t="shared" si="29"/>
        <v>0</v>
      </c>
      <c r="S71" s="146">
        <f t="shared" si="30"/>
        <v>0</v>
      </c>
      <c r="T71" s="146">
        <f t="shared" si="31"/>
        <v>0</v>
      </c>
      <c r="U71" s="146" cm="1">
        <f t="array" ref="U71">IF(OR(A71="",$U$3=0),0,IF(ISERROR($U$3),0,ROUND(INDEX(MT_NP,1,職業等級)+(MAX(0,MT保額-3)*INDEX(MT_NP,2,職業等級)),0)))</f>
        <v>0</v>
      </c>
      <c r="V71" s="146">
        <f t="shared" si="32"/>
        <v>0</v>
      </c>
      <c r="W71" s="146">
        <f t="shared" si="33"/>
        <v>0</v>
      </c>
      <c r="X71" s="146">
        <f t="shared" si="34"/>
        <v>0</v>
      </c>
      <c r="Y71" s="146"/>
      <c r="Z71" s="146"/>
      <c r="AA71" s="153"/>
    </row>
    <row r="72" spans="1:27">
      <c r="A72" s="149" t="str">
        <f t="shared" si="35"/>
        <v/>
      </c>
      <c r="B72" s="150">
        <f ca="1">IF(OR(A72="",$B$3=0),0,
IF(AND(照護有術顯示判斷=2,'試算表(16歲-65歲)'!A72&gt;=20,'試算表(16歲-65歲)'!A72&lt;=29),0,
VLOOKUP("P"&amp;REPT("0",2-LEN(商品年期))&amp;商品年期&amp;"S"&amp;"1"&amp;"A"&amp;REPT("0",2-LEN(A72))&amp;A72,INDIRECT(主約費率表),6,FALSE)*$B$3))</f>
        <v>0</v>
      </c>
      <c r="C72" s="150">
        <f t="shared" si="19"/>
        <v>0</v>
      </c>
      <c r="D72" s="150">
        <f t="shared" si="20"/>
        <v>0</v>
      </c>
      <c r="E72" s="150">
        <f t="shared" si="21"/>
        <v>0</v>
      </c>
      <c r="F72" s="150">
        <f t="shared" si="22"/>
        <v>0</v>
      </c>
      <c r="G72" s="151">
        <f t="shared" si="23"/>
        <v>0</v>
      </c>
      <c r="H72" s="151" cm="1">
        <f t="array" ref="H72">IF(OR(A72="",$H$3=0),0,IF(ISERROR($H$3),0,ROUND(INDEX(MT_NP,1,職業等級)+(MAX(0,MT保額-3)*INDEX(MT_NP,2,職業等級)),0)))</f>
        <v>0</v>
      </c>
      <c r="I72" s="150">
        <f t="shared" si="24"/>
        <v>0</v>
      </c>
      <c r="J72" s="150">
        <f t="shared" si="25"/>
        <v>0</v>
      </c>
      <c r="K72" s="150">
        <f t="shared" si="26"/>
        <v>0</v>
      </c>
      <c r="L72" s="150"/>
      <c r="M72" s="150"/>
      <c r="N72" s="152"/>
      <c r="O72" s="146">
        <f ca="1">IF(OR(A72="",$B$3=0),0,
IF(AND(照護有術顯示判斷=2,'試算表(16歲-65歲)'!A72&gt;=20,'試算表(16歲-65歲)'!A72&lt;=29),0,
VLOOKUP("P"&amp;REPT("0",2-LEN(商品年期))&amp;商品年期&amp;"S"&amp;"2"&amp;"A"&amp;REPT("0",2-LEN(A72))&amp;A72,INDIRECT(主約費率表),6,FALSE)*$O$3))</f>
        <v>0</v>
      </c>
      <c r="P72" s="146">
        <f t="shared" si="27"/>
        <v>0</v>
      </c>
      <c r="Q72" s="146">
        <f t="shared" si="28"/>
        <v>0</v>
      </c>
      <c r="R72" s="146">
        <f t="shared" si="29"/>
        <v>0</v>
      </c>
      <c r="S72" s="146">
        <f t="shared" si="30"/>
        <v>0</v>
      </c>
      <c r="T72" s="146">
        <f t="shared" si="31"/>
        <v>0</v>
      </c>
      <c r="U72" s="146" cm="1">
        <f t="array" ref="U72">IF(OR(A72="",$U$3=0),0,IF(ISERROR($U$3),0,ROUND(INDEX(MT_NP,1,職業等級)+(MAX(0,MT保額-3)*INDEX(MT_NP,2,職業等級)),0)))</f>
        <v>0</v>
      </c>
      <c r="V72" s="146">
        <f t="shared" si="32"/>
        <v>0</v>
      </c>
      <c r="W72" s="146">
        <f t="shared" si="33"/>
        <v>0</v>
      </c>
      <c r="X72" s="146">
        <f t="shared" si="34"/>
        <v>0</v>
      </c>
      <c r="Y72" s="146"/>
      <c r="Z72" s="146"/>
      <c r="AA72" s="153"/>
    </row>
    <row r="73" spans="1:27">
      <c r="A73" s="149" t="str">
        <f t="shared" si="35"/>
        <v/>
      </c>
      <c r="B73" s="150">
        <f ca="1">IF(OR(A73="",$B$3=0),0,
IF(AND(照護有術顯示判斷=2,'試算表(16歲-65歲)'!A73&gt;=20,'試算表(16歲-65歲)'!A73&lt;=29),0,
VLOOKUP("P"&amp;REPT("0",2-LEN(商品年期))&amp;商品年期&amp;"S"&amp;"1"&amp;"A"&amp;REPT("0",2-LEN(A73))&amp;A73,INDIRECT(主約費率表),6,FALSE)*$B$3))</f>
        <v>0</v>
      </c>
      <c r="C73" s="150">
        <f t="shared" si="19"/>
        <v>0</v>
      </c>
      <c r="D73" s="150">
        <f t="shared" si="20"/>
        <v>0</v>
      </c>
      <c r="E73" s="150">
        <f t="shared" si="21"/>
        <v>0</v>
      </c>
      <c r="F73" s="150">
        <f t="shared" si="22"/>
        <v>0</v>
      </c>
      <c r="G73" s="151">
        <f t="shared" si="23"/>
        <v>0</v>
      </c>
      <c r="H73" s="151" cm="1">
        <f t="array" ref="H73">IF(OR(A73="",$H$3=0),0,IF(ISERROR($H$3),0,ROUND(INDEX(MT_NP,1,職業等級)+(MAX(0,MT保額-3)*INDEX(MT_NP,2,職業等級)),0)))</f>
        <v>0</v>
      </c>
      <c r="I73" s="150">
        <f t="shared" si="24"/>
        <v>0</v>
      </c>
      <c r="J73" s="150">
        <f t="shared" si="25"/>
        <v>0</v>
      </c>
      <c r="K73" s="150">
        <f t="shared" si="26"/>
        <v>0</v>
      </c>
      <c r="L73" s="150"/>
      <c r="M73" s="150"/>
      <c r="N73" s="152"/>
      <c r="O73" s="146">
        <f ca="1">IF(OR(A73="",$B$3=0),0,
IF(AND(照護有術顯示判斷=2,'試算表(16歲-65歲)'!A73&gt;=20,'試算表(16歲-65歲)'!A73&lt;=29),0,
VLOOKUP("P"&amp;REPT("0",2-LEN(商品年期))&amp;商品年期&amp;"S"&amp;"2"&amp;"A"&amp;REPT("0",2-LEN(A73))&amp;A73,INDIRECT(主約費率表),6,FALSE)*$O$3))</f>
        <v>0</v>
      </c>
      <c r="P73" s="146">
        <f t="shared" si="27"/>
        <v>0</v>
      </c>
      <c r="Q73" s="146">
        <f t="shared" si="28"/>
        <v>0</v>
      </c>
      <c r="R73" s="146">
        <f t="shared" si="29"/>
        <v>0</v>
      </c>
      <c r="S73" s="146">
        <f t="shared" si="30"/>
        <v>0</v>
      </c>
      <c r="T73" s="146">
        <f t="shared" si="31"/>
        <v>0</v>
      </c>
      <c r="U73" s="146" cm="1">
        <f t="array" ref="U73">IF(OR(A73="",$U$3=0),0,IF(ISERROR($U$3),0,ROUND(INDEX(MT_NP,1,職業等級)+(MAX(0,MT保額-3)*INDEX(MT_NP,2,職業等級)),0)))</f>
        <v>0</v>
      </c>
      <c r="V73" s="146">
        <f t="shared" si="32"/>
        <v>0</v>
      </c>
      <c r="W73" s="146">
        <f t="shared" si="33"/>
        <v>0</v>
      </c>
      <c r="X73" s="146">
        <f t="shared" si="34"/>
        <v>0</v>
      </c>
      <c r="Y73" s="146"/>
      <c r="Z73" s="146"/>
      <c r="AA73" s="153"/>
    </row>
    <row r="74" spans="1:27">
      <c r="A74" s="149" t="str">
        <f t="shared" si="35"/>
        <v/>
      </c>
      <c r="B74" s="150">
        <f ca="1">IF(OR(A74="",$B$3=0),0,
IF(AND(照護有術顯示判斷=2,'試算表(16歲-65歲)'!A74&gt;=20,'試算表(16歲-65歲)'!A74&lt;=29),0,
VLOOKUP("P"&amp;REPT("0",2-LEN(商品年期))&amp;商品年期&amp;"S"&amp;"1"&amp;"A"&amp;REPT("0",2-LEN(A74))&amp;A74,INDIRECT(主約費率表),6,FALSE)*$B$3))</f>
        <v>0</v>
      </c>
      <c r="C74" s="150">
        <f t="shared" si="19"/>
        <v>0</v>
      </c>
      <c r="D74" s="150">
        <f t="shared" si="20"/>
        <v>0</v>
      </c>
      <c r="E74" s="150">
        <f t="shared" si="21"/>
        <v>0</v>
      </c>
      <c r="F74" s="150">
        <f t="shared" si="22"/>
        <v>0</v>
      </c>
      <c r="G74" s="151">
        <f t="shared" si="23"/>
        <v>0</v>
      </c>
      <c r="H74" s="151" cm="1">
        <f t="array" ref="H74">IF(OR(A74="",$H$3=0),0,IF(ISERROR($H$3),0,ROUND(INDEX(MT_NP,1,職業等級)+(MAX(0,MT保額-3)*INDEX(MT_NP,2,職業等級)),0)))</f>
        <v>0</v>
      </c>
      <c r="I74" s="150">
        <f t="shared" si="24"/>
        <v>0</v>
      </c>
      <c r="J74" s="150">
        <f t="shared" si="25"/>
        <v>0</v>
      </c>
      <c r="K74" s="150">
        <f t="shared" si="26"/>
        <v>0</v>
      </c>
      <c r="L74" s="150"/>
      <c r="M74" s="150"/>
      <c r="N74" s="152"/>
      <c r="O74" s="146">
        <f ca="1">IF(OR(A74="",$B$3=0),0,
IF(AND(照護有術顯示判斷=2,'試算表(16歲-65歲)'!A74&gt;=20,'試算表(16歲-65歲)'!A74&lt;=29),0,
VLOOKUP("P"&amp;REPT("0",2-LEN(商品年期))&amp;商品年期&amp;"S"&amp;"2"&amp;"A"&amp;REPT("0",2-LEN(A74))&amp;A74,INDIRECT(主約費率表),6,FALSE)*$O$3))</f>
        <v>0</v>
      </c>
      <c r="P74" s="146">
        <f t="shared" si="27"/>
        <v>0</v>
      </c>
      <c r="Q74" s="146">
        <f t="shared" si="28"/>
        <v>0</v>
      </c>
      <c r="R74" s="146">
        <f t="shared" si="29"/>
        <v>0</v>
      </c>
      <c r="S74" s="146">
        <f t="shared" si="30"/>
        <v>0</v>
      </c>
      <c r="T74" s="146">
        <f t="shared" si="31"/>
        <v>0</v>
      </c>
      <c r="U74" s="146" cm="1">
        <f t="array" ref="U74">IF(OR(A74="",$U$3=0),0,IF(ISERROR($U$3),0,ROUND(INDEX(MT_NP,1,職業等級)+(MAX(0,MT保額-3)*INDEX(MT_NP,2,職業等級)),0)))</f>
        <v>0</v>
      </c>
      <c r="V74" s="146">
        <f t="shared" si="32"/>
        <v>0</v>
      </c>
      <c r="W74" s="146">
        <f t="shared" si="33"/>
        <v>0</v>
      </c>
      <c r="X74" s="146">
        <f t="shared" si="34"/>
        <v>0</v>
      </c>
      <c r="Y74" s="146"/>
      <c r="Z74" s="146"/>
      <c r="AA74" s="153"/>
    </row>
    <row r="75" spans="1:27">
      <c r="A75" s="149" t="str">
        <f t="shared" si="35"/>
        <v/>
      </c>
      <c r="B75" s="150">
        <f ca="1">IF(OR(A75="",$B$3=0),0,
IF(AND(照護有術顯示判斷=2,'試算表(16歲-65歲)'!A75&gt;=20,'試算表(16歲-65歲)'!A75&lt;=29),0,
VLOOKUP("P"&amp;REPT("0",2-LEN(商品年期))&amp;商品年期&amp;"S"&amp;"1"&amp;"A"&amp;REPT("0",2-LEN(A75))&amp;A75,INDIRECT(主約費率表),6,FALSE)*$B$3))</f>
        <v>0</v>
      </c>
      <c r="C75" s="150">
        <f t="shared" si="19"/>
        <v>0</v>
      </c>
      <c r="D75" s="150">
        <f t="shared" si="20"/>
        <v>0</v>
      </c>
      <c r="E75" s="150">
        <f t="shared" si="21"/>
        <v>0</v>
      </c>
      <c r="F75" s="150">
        <f t="shared" si="22"/>
        <v>0</v>
      </c>
      <c r="G75" s="151">
        <f t="shared" si="23"/>
        <v>0</v>
      </c>
      <c r="H75" s="151" cm="1">
        <f t="array" ref="H75">IF(OR(A75="",$H$3=0),0,IF(ISERROR($H$3),0,ROUND(INDEX(MT_NP,1,職業等級)+(MAX(0,MT保額-3)*INDEX(MT_NP,2,職業等級)),0)))</f>
        <v>0</v>
      </c>
      <c r="I75" s="150">
        <f t="shared" si="24"/>
        <v>0</v>
      </c>
      <c r="J75" s="150">
        <f t="shared" si="25"/>
        <v>0</v>
      </c>
      <c r="K75" s="150">
        <f t="shared" si="26"/>
        <v>0</v>
      </c>
      <c r="L75" s="150"/>
      <c r="M75" s="150"/>
      <c r="N75" s="152"/>
      <c r="O75" s="146">
        <f ca="1">IF(OR(A75="",$B$3=0),0,
IF(AND(照護有術顯示判斷=2,'試算表(16歲-65歲)'!A75&gt;=20,'試算表(16歲-65歲)'!A75&lt;=29),0,
VLOOKUP("P"&amp;REPT("0",2-LEN(商品年期))&amp;商品年期&amp;"S"&amp;"2"&amp;"A"&amp;REPT("0",2-LEN(A75))&amp;A75,INDIRECT(主約費率表),6,FALSE)*$O$3))</f>
        <v>0</v>
      </c>
      <c r="P75" s="146">
        <f t="shared" si="27"/>
        <v>0</v>
      </c>
      <c r="Q75" s="146">
        <f t="shared" si="28"/>
        <v>0</v>
      </c>
      <c r="R75" s="146">
        <f t="shared" si="29"/>
        <v>0</v>
      </c>
      <c r="S75" s="146">
        <f t="shared" si="30"/>
        <v>0</v>
      </c>
      <c r="T75" s="146">
        <f t="shared" si="31"/>
        <v>0</v>
      </c>
      <c r="U75" s="146" cm="1">
        <f t="array" ref="U75">IF(OR(A75="",$U$3=0),0,IF(ISERROR($U$3),0,ROUND(INDEX(MT_NP,1,職業等級)+(MAX(0,MT保額-3)*INDEX(MT_NP,2,職業等級)),0)))</f>
        <v>0</v>
      </c>
      <c r="V75" s="146">
        <f t="shared" si="32"/>
        <v>0</v>
      </c>
      <c r="W75" s="146">
        <f t="shared" si="33"/>
        <v>0</v>
      </c>
      <c r="X75" s="146">
        <f t="shared" si="34"/>
        <v>0</v>
      </c>
      <c r="Y75" s="146"/>
      <c r="Z75" s="146"/>
      <c r="AA75" s="153"/>
    </row>
    <row r="76" spans="1:27">
      <c r="A76" s="149" t="str">
        <f t="shared" si="35"/>
        <v/>
      </c>
      <c r="B76" s="150">
        <f ca="1">IF(OR(A76="",$B$3=0),0,
IF(AND(照護有術顯示判斷=2,'試算表(16歲-65歲)'!A76&gt;=20,'試算表(16歲-65歲)'!A76&lt;=29),0,
VLOOKUP("P"&amp;REPT("0",2-LEN(商品年期))&amp;商品年期&amp;"S"&amp;"1"&amp;"A"&amp;REPT("0",2-LEN(A76))&amp;A76,INDIRECT(主約費率表),6,FALSE)*$B$3))</f>
        <v>0</v>
      </c>
      <c r="C76" s="150">
        <f t="shared" si="19"/>
        <v>0</v>
      </c>
      <c r="D76" s="150">
        <f t="shared" si="20"/>
        <v>0</v>
      </c>
      <c r="E76" s="150">
        <f t="shared" si="21"/>
        <v>0</v>
      </c>
      <c r="F76" s="150">
        <f t="shared" si="22"/>
        <v>0</v>
      </c>
      <c r="G76" s="151">
        <f t="shared" si="23"/>
        <v>0</v>
      </c>
      <c r="H76" s="151" cm="1">
        <f t="array" ref="H76">IF(OR(A76="",$H$3=0),0,IF(ISERROR($H$3),0,ROUND(INDEX(MT_NP,1,職業等級)+(MAX(0,MT保額-3)*INDEX(MT_NP,2,職業等級)),0)))</f>
        <v>0</v>
      </c>
      <c r="I76" s="150">
        <f t="shared" si="24"/>
        <v>0</v>
      </c>
      <c r="J76" s="150">
        <f t="shared" si="25"/>
        <v>0</v>
      </c>
      <c r="K76" s="150">
        <f t="shared" si="26"/>
        <v>0</v>
      </c>
      <c r="L76" s="150"/>
      <c r="M76" s="150"/>
      <c r="N76" s="152"/>
      <c r="O76" s="146">
        <f ca="1">IF(OR(A76="",$B$3=0),0,
IF(AND(照護有術顯示判斷=2,'試算表(16歲-65歲)'!A76&gt;=20,'試算表(16歲-65歲)'!A76&lt;=29),0,
VLOOKUP("P"&amp;REPT("0",2-LEN(商品年期))&amp;商品年期&amp;"S"&amp;"2"&amp;"A"&amp;REPT("0",2-LEN(A76))&amp;A76,INDIRECT(主約費率表),6,FALSE)*$O$3))</f>
        <v>0</v>
      </c>
      <c r="P76" s="146">
        <f t="shared" si="27"/>
        <v>0</v>
      </c>
      <c r="Q76" s="146">
        <f t="shared" si="28"/>
        <v>0</v>
      </c>
      <c r="R76" s="146">
        <f t="shared" si="29"/>
        <v>0</v>
      </c>
      <c r="S76" s="146">
        <f t="shared" si="30"/>
        <v>0</v>
      </c>
      <c r="T76" s="146">
        <f t="shared" si="31"/>
        <v>0</v>
      </c>
      <c r="U76" s="146" cm="1">
        <f t="array" ref="U76">IF(OR(A76="",$U$3=0),0,IF(ISERROR($U$3),0,ROUND(INDEX(MT_NP,1,職業等級)+(MAX(0,MT保額-3)*INDEX(MT_NP,2,職業等級)),0)))</f>
        <v>0</v>
      </c>
      <c r="V76" s="146">
        <f t="shared" si="32"/>
        <v>0</v>
      </c>
      <c r="W76" s="146">
        <f t="shared" si="33"/>
        <v>0</v>
      </c>
      <c r="X76" s="146">
        <f t="shared" si="34"/>
        <v>0</v>
      </c>
      <c r="Y76" s="146"/>
      <c r="Z76" s="146"/>
      <c r="AA76" s="153"/>
    </row>
    <row r="77" spans="1:27">
      <c r="A77" s="149" t="str">
        <f t="shared" si="35"/>
        <v/>
      </c>
      <c r="B77" s="150">
        <f ca="1">IF(OR(A77="",$B$3=0),0,
IF(AND(照護有術顯示判斷=2,'試算表(16歲-65歲)'!A77&gt;=20,'試算表(16歲-65歲)'!A77&lt;=29),0,
VLOOKUP("P"&amp;REPT("0",2-LEN(商品年期))&amp;商品年期&amp;"S"&amp;"1"&amp;"A"&amp;REPT("0",2-LEN(A77))&amp;A77,INDIRECT(主約費率表),6,FALSE)*$B$3))</f>
        <v>0</v>
      </c>
      <c r="C77" s="150">
        <f t="shared" si="19"/>
        <v>0</v>
      </c>
      <c r="D77" s="150">
        <f t="shared" si="20"/>
        <v>0</v>
      </c>
      <c r="E77" s="150">
        <f t="shared" si="21"/>
        <v>0</v>
      </c>
      <c r="F77" s="150">
        <f t="shared" si="22"/>
        <v>0</v>
      </c>
      <c r="G77" s="151">
        <f t="shared" si="23"/>
        <v>0</v>
      </c>
      <c r="H77" s="151" cm="1">
        <f t="array" ref="H77">IF(OR(A77="",$H$3=0),0,IF(ISERROR($H$3),0,ROUND(INDEX(MT_NP,1,職業等級)+(MAX(0,MT保額-3)*INDEX(MT_NP,2,職業等級)),0)))</f>
        <v>0</v>
      </c>
      <c r="I77" s="150">
        <f t="shared" si="24"/>
        <v>0</v>
      </c>
      <c r="J77" s="150">
        <f t="shared" si="25"/>
        <v>0</v>
      </c>
      <c r="K77" s="150">
        <f t="shared" si="26"/>
        <v>0</v>
      </c>
      <c r="L77" s="150"/>
      <c r="M77" s="150"/>
      <c r="N77" s="152"/>
      <c r="O77" s="146">
        <f ca="1">IF(OR(A77="",$B$3=0),0,
IF(AND(照護有術顯示判斷=2,'試算表(16歲-65歲)'!A77&gt;=20,'試算表(16歲-65歲)'!A77&lt;=29),0,
VLOOKUP("P"&amp;REPT("0",2-LEN(商品年期))&amp;商品年期&amp;"S"&amp;"2"&amp;"A"&amp;REPT("0",2-LEN(A77))&amp;A77,INDIRECT(主約費率表),6,FALSE)*$O$3))</f>
        <v>0</v>
      </c>
      <c r="P77" s="146">
        <f t="shared" si="27"/>
        <v>0</v>
      </c>
      <c r="Q77" s="146">
        <f t="shared" si="28"/>
        <v>0</v>
      </c>
      <c r="R77" s="146">
        <f t="shared" si="29"/>
        <v>0</v>
      </c>
      <c r="S77" s="146">
        <f t="shared" si="30"/>
        <v>0</v>
      </c>
      <c r="T77" s="146">
        <f t="shared" si="31"/>
        <v>0</v>
      </c>
      <c r="U77" s="146" cm="1">
        <f t="array" ref="U77">IF(OR(A77="",$U$3=0),0,IF(ISERROR($U$3),0,ROUND(INDEX(MT_NP,1,職業等級)+(MAX(0,MT保額-3)*INDEX(MT_NP,2,職業等級)),0)))</f>
        <v>0</v>
      </c>
      <c r="V77" s="146">
        <f t="shared" si="32"/>
        <v>0</v>
      </c>
      <c r="W77" s="146">
        <f t="shared" si="33"/>
        <v>0</v>
      </c>
      <c r="X77" s="146">
        <f t="shared" si="34"/>
        <v>0</v>
      </c>
      <c r="Y77" s="146"/>
      <c r="Z77" s="146"/>
      <c r="AA77" s="153"/>
    </row>
    <row r="78" spans="1:27">
      <c r="A78" s="149" t="str">
        <f t="shared" si="35"/>
        <v/>
      </c>
      <c r="B78" s="150">
        <f ca="1">IF(OR(A78="",$B$3=0),0,
IF(AND(照護有術顯示判斷=2,'試算表(16歲-65歲)'!A78&gt;=20,'試算表(16歲-65歲)'!A78&lt;=29),0,
VLOOKUP("P"&amp;REPT("0",2-LEN(商品年期))&amp;商品年期&amp;"S"&amp;"1"&amp;"A"&amp;REPT("0",2-LEN(A78))&amp;A78,INDIRECT(主約費率表),6,FALSE)*$B$3))</f>
        <v>0</v>
      </c>
      <c r="C78" s="150">
        <f t="shared" si="19"/>
        <v>0</v>
      </c>
      <c r="D78" s="150">
        <f t="shared" si="20"/>
        <v>0</v>
      </c>
      <c r="E78" s="150">
        <f t="shared" si="21"/>
        <v>0</v>
      </c>
      <c r="F78" s="150">
        <f t="shared" si="22"/>
        <v>0</v>
      </c>
      <c r="G78" s="151">
        <f t="shared" si="23"/>
        <v>0</v>
      </c>
      <c r="H78" s="151" cm="1">
        <f t="array" ref="H78">IF(OR(A78="",$H$3=0),0,IF(ISERROR($H$3),0,ROUND(INDEX(MT_NP,1,職業等級)+(MAX(0,MT保額-3)*INDEX(MT_NP,2,職業等級)),0)))</f>
        <v>0</v>
      </c>
      <c r="I78" s="150">
        <f t="shared" si="24"/>
        <v>0</v>
      </c>
      <c r="J78" s="150">
        <f t="shared" si="25"/>
        <v>0</v>
      </c>
      <c r="K78" s="150">
        <f t="shared" si="26"/>
        <v>0</v>
      </c>
      <c r="L78" s="150"/>
      <c r="M78" s="150"/>
      <c r="N78" s="152"/>
      <c r="O78" s="146">
        <f ca="1">IF(OR(A78="",$B$3=0),0,
IF(AND(照護有術顯示判斷=2,'試算表(16歲-65歲)'!A78&gt;=20,'試算表(16歲-65歲)'!A78&lt;=29),0,
VLOOKUP("P"&amp;REPT("0",2-LEN(商品年期))&amp;商品年期&amp;"S"&amp;"2"&amp;"A"&amp;REPT("0",2-LEN(A78))&amp;A78,INDIRECT(主約費率表),6,FALSE)*$O$3))</f>
        <v>0</v>
      </c>
      <c r="P78" s="146">
        <f t="shared" si="27"/>
        <v>0</v>
      </c>
      <c r="Q78" s="146">
        <f t="shared" si="28"/>
        <v>0</v>
      </c>
      <c r="R78" s="146">
        <f t="shared" si="29"/>
        <v>0</v>
      </c>
      <c r="S78" s="146">
        <f t="shared" si="30"/>
        <v>0</v>
      </c>
      <c r="T78" s="146">
        <f t="shared" si="31"/>
        <v>0</v>
      </c>
      <c r="U78" s="146" cm="1">
        <f t="array" ref="U78">IF(OR(A78="",$U$3=0),0,IF(ISERROR($U$3),0,ROUND(INDEX(MT_NP,1,職業等級)+(MAX(0,MT保額-3)*INDEX(MT_NP,2,職業等級)),0)))</f>
        <v>0</v>
      </c>
      <c r="V78" s="146">
        <f t="shared" si="32"/>
        <v>0</v>
      </c>
      <c r="W78" s="146">
        <f t="shared" si="33"/>
        <v>0</v>
      </c>
      <c r="X78" s="146">
        <f t="shared" si="34"/>
        <v>0</v>
      </c>
      <c r="Y78" s="146"/>
      <c r="Z78" s="146"/>
      <c r="AA78" s="153"/>
    </row>
    <row r="79" spans="1:27">
      <c r="A79" s="149" t="str">
        <f t="shared" si="35"/>
        <v/>
      </c>
      <c r="B79" s="150">
        <f ca="1">IF(OR(A79="",$B$3=0),0,
IF(AND(照護有術顯示判斷=2,'試算表(16歲-65歲)'!A79&gt;=20,'試算表(16歲-65歲)'!A79&lt;=29),0,
VLOOKUP("P"&amp;REPT("0",2-LEN(商品年期))&amp;商品年期&amp;"S"&amp;"1"&amp;"A"&amp;REPT("0",2-LEN(A79))&amp;A79,INDIRECT(主約費率表),6,FALSE)*$B$3))</f>
        <v>0</v>
      </c>
      <c r="C79" s="150">
        <f t="shared" si="19"/>
        <v>0</v>
      </c>
      <c r="D79" s="150">
        <f t="shared" si="20"/>
        <v>0</v>
      </c>
      <c r="E79" s="150">
        <f t="shared" si="21"/>
        <v>0</v>
      </c>
      <c r="F79" s="150">
        <f t="shared" si="22"/>
        <v>0</v>
      </c>
      <c r="G79" s="151">
        <f t="shared" si="23"/>
        <v>0</v>
      </c>
      <c r="H79" s="151" cm="1">
        <f t="array" ref="H79">IF(OR(A79="",$H$3=0),0,IF(ISERROR($H$3),0,ROUND(INDEX(MT_NP,1,職業等級)+(MAX(0,MT保額-3)*INDEX(MT_NP,2,職業等級)),0)))</f>
        <v>0</v>
      </c>
      <c r="I79" s="150">
        <f t="shared" si="24"/>
        <v>0</v>
      </c>
      <c r="J79" s="150">
        <f t="shared" si="25"/>
        <v>0</v>
      </c>
      <c r="K79" s="150">
        <f t="shared" si="26"/>
        <v>0</v>
      </c>
      <c r="L79" s="150"/>
      <c r="M79" s="150"/>
      <c r="N79" s="152"/>
      <c r="O79" s="146">
        <f ca="1">IF(OR(A79="",$B$3=0),0,
IF(AND(照護有術顯示判斷=2,'試算表(16歲-65歲)'!A79&gt;=20,'試算表(16歲-65歲)'!A79&lt;=29),0,
VLOOKUP("P"&amp;REPT("0",2-LEN(商品年期))&amp;商品年期&amp;"S"&amp;"2"&amp;"A"&amp;REPT("0",2-LEN(A79))&amp;A79,INDIRECT(主約費率表),6,FALSE)*$O$3))</f>
        <v>0</v>
      </c>
      <c r="P79" s="146">
        <f t="shared" si="27"/>
        <v>0</v>
      </c>
      <c r="Q79" s="146">
        <f t="shared" si="28"/>
        <v>0</v>
      </c>
      <c r="R79" s="146">
        <f t="shared" si="29"/>
        <v>0</v>
      </c>
      <c r="S79" s="146">
        <f t="shared" si="30"/>
        <v>0</v>
      </c>
      <c r="T79" s="146">
        <f t="shared" si="31"/>
        <v>0</v>
      </c>
      <c r="U79" s="146" cm="1">
        <f t="array" ref="U79">IF(OR(A79="",$U$3=0),0,IF(ISERROR($U$3),0,ROUND(INDEX(MT_NP,1,職業等級)+(MAX(0,MT保額-3)*INDEX(MT_NP,2,職業等級)),0)))</f>
        <v>0</v>
      </c>
      <c r="V79" s="146">
        <f t="shared" si="32"/>
        <v>0</v>
      </c>
      <c r="W79" s="146">
        <f t="shared" si="33"/>
        <v>0</v>
      </c>
      <c r="X79" s="146">
        <f t="shared" si="34"/>
        <v>0</v>
      </c>
      <c r="Y79" s="146"/>
      <c r="Z79" s="146"/>
      <c r="AA79" s="153"/>
    </row>
    <row r="80" spans="1:27">
      <c r="A80" s="149" t="str">
        <f t="shared" si="35"/>
        <v/>
      </c>
      <c r="B80" s="150">
        <f ca="1">IF(OR(A80="",$B$3=0),0,
IF(AND(照護有術顯示判斷=2,'試算表(16歲-65歲)'!A80&gt;=20,'試算表(16歲-65歲)'!A80&lt;=29),0,
VLOOKUP("P"&amp;REPT("0",2-LEN(商品年期))&amp;商品年期&amp;"S"&amp;"1"&amp;"A"&amp;REPT("0",2-LEN(A80))&amp;A80,INDIRECT(主約費率表),6,FALSE)*$B$3))</f>
        <v>0</v>
      </c>
      <c r="C80" s="150">
        <f t="shared" si="19"/>
        <v>0</v>
      </c>
      <c r="D80" s="150">
        <f t="shared" si="20"/>
        <v>0</v>
      </c>
      <c r="E80" s="150">
        <f t="shared" si="21"/>
        <v>0</v>
      </c>
      <c r="F80" s="150">
        <f t="shared" si="22"/>
        <v>0</v>
      </c>
      <c r="G80" s="151">
        <f t="shared" si="23"/>
        <v>0</v>
      </c>
      <c r="H80" s="151" cm="1">
        <f t="array" ref="H80">IF(OR(A80="",$H$3=0),0,IF(ISERROR($H$3),0,ROUND(INDEX(MT_NP,1,職業等級)+(MAX(0,MT保額-3)*INDEX(MT_NP,2,職業等級)),0)))</f>
        <v>0</v>
      </c>
      <c r="I80" s="150">
        <f t="shared" si="24"/>
        <v>0</v>
      </c>
      <c r="J80" s="150">
        <f t="shared" si="25"/>
        <v>0</v>
      </c>
      <c r="K80" s="150">
        <f t="shared" si="26"/>
        <v>0</v>
      </c>
      <c r="L80" s="150"/>
      <c r="M80" s="150"/>
      <c r="N80" s="152"/>
      <c r="O80" s="146">
        <f ca="1">IF(OR(A80="",$B$3=0),0,
IF(AND(照護有術顯示判斷=2,'試算表(16歲-65歲)'!A80&gt;=20,'試算表(16歲-65歲)'!A80&lt;=29),0,
VLOOKUP("P"&amp;REPT("0",2-LEN(商品年期))&amp;商品年期&amp;"S"&amp;"2"&amp;"A"&amp;REPT("0",2-LEN(A80))&amp;A80,INDIRECT(主約費率表),6,FALSE)*$O$3))</f>
        <v>0</v>
      </c>
      <c r="P80" s="146">
        <f t="shared" si="27"/>
        <v>0</v>
      </c>
      <c r="Q80" s="146">
        <f t="shared" si="28"/>
        <v>0</v>
      </c>
      <c r="R80" s="146">
        <f t="shared" si="29"/>
        <v>0</v>
      </c>
      <c r="S80" s="146">
        <f t="shared" si="30"/>
        <v>0</v>
      </c>
      <c r="T80" s="146">
        <f t="shared" si="31"/>
        <v>0</v>
      </c>
      <c r="U80" s="146" cm="1">
        <f t="array" ref="U80">IF(OR(A80="",$U$3=0),0,IF(ISERROR($U$3),0,ROUND(INDEX(MT_NP,1,職業等級)+(MAX(0,MT保額-3)*INDEX(MT_NP,2,職業等級)),0)))</f>
        <v>0</v>
      </c>
      <c r="V80" s="146">
        <f t="shared" si="32"/>
        <v>0</v>
      </c>
      <c r="W80" s="146">
        <f t="shared" si="33"/>
        <v>0</v>
      </c>
      <c r="X80" s="146">
        <f t="shared" si="34"/>
        <v>0</v>
      </c>
      <c r="Y80" s="146"/>
      <c r="Z80" s="146"/>
      <c r="AA80" s="153"/>
    </row>
    <row r="81" spans="1:27">
      <c r="A81" s="149" t="str">
        <f t="shared" si="35"/>
        <v/>
      </c>
      <c r="B81" s="150">
        <f ca="1">IF(OR(A81="",$B$3=0),0,
IF(AND(照護有術顯示判斷=2,'試算表(16歲-65歲)'!A81&gt;=20,'試算表(16歲-65歲)'!A81&lt;=29),0,
VLOOKUP("P"&amp;REPT("0",2-LEN(商品年期))&amp;商品年期&amp;"S"&amp;"1"&amp;"A"&amp;REPT("0",2-LEN(A81))&amp;A81,INDIRECT(主約費率表),6,FALSE)*$B$3))</f>
        <v>0</v>
      </c>
      <c r="C81" s="150">
        <f t="shared" si="19"/>
        <v>0</v>
      </c>
      <c r="D81" s="150">
        <f t="shared" si="20"/>
        <v>0</v>
      </c>
      <c r="E81" s="150">
        <f t="shared" si="21"/>
        <v>0</v>
      </c>
      <c r="F81" s="150">
        <f t="shared" si="22"/>
        <v>0</v>
      </c>
      <c r="G81" s="151">
        <f t="shared" si="23"/>
        <v>0</v>
      </c>
      <c r="H81" s="151" cm="1">
        <f t="array" ref="H81">IF(OR(A81="",$H$3=0),0,IF(ISERROR($H$3),0,ROUND(INDEX(MT_NP,1,職業等級)+(MAX(0,MT保額-3)*INDEX(MT_NP,2,職業等級)),0)))</f>
        <v>0</v>
      </c>
      <c r="I81" s="150">
        <f t="shared" si="24"/>
        <v>0</v>
      </c>
      <c r="J81" s="150">
        <f t="shared" si="25"/>
        <v>0</v>
      </c>
      <c r="K81" s="150">
        <f t="shared" si="26"/>
        <v>0</v>
      </c>
      <c r="L81" s="150"/>
      <c r="M81" s="150"/>
      <c r="N81" s="152"/>
      <c r="O81" s="146">
        <f ca="1">IF(OR(A81="",$B$3=0),0,
IF(AND(照護有術顯示判斷=2,'試算表(16歲-65歲)'!A81&gt;=20,'試算表(16歲-65歲)'!A81&lt;=29),0,
VLOOKUP("P"&amp;REPT("0",2-LEN(商品年期))&amp;商品年期&amp;"S"&amp;"2"&amp;"A"&amp;REPT("0",2-LEN(A81))&amp;A81,INDIRECT(主約費率表),6,FALSE)*$O$3))</f>
        <v>0</v>
      </c>
      <c r="P81" s="146">
        <f t="shared" si="27"/>
        <v>0</v>
      </c>
      <c r="Q81" s="146">
        <f t="shared" si="28"/>
        <v>0</v>
      </c>
      <c r="R81" s="146">
        <f t="shared" si="29"/>
        <v>0</v>
      </c>
      <c r="S81" s="146">
        <f t="shared" si="30"/>
        <v>0</v>
      </c>
      <c r="T81" s="146">
        <f t="shared" si="31"/>
        <v>0</v>
      </c>
      <c r="U81" s="146" cm="1">
        <f t="array" ref="U81">IF(OR(A81="",$U$3=0),0,IF(ISERROR($U$3),0,ROUND(INDEX(MT_NP,1,職業等級)+(MAX(0,MT保額-3)*INDEX(MT_NP,2,職業等級)),0)))</f>
        <v>0</v>
      </c>
      <c r="V81" s="146">
        <f t="shared" si="32"/>
        <v>0</v>
      </c>
      <c r="W81" s="146">
        <f t="shared" si="33"/>
        <v>0</v>
      </c>
      <c r="X81" s="146">
        <f t="shared" si="34"/>
        <v>0</v>
      </c>
      <c r="Y81" s="146"/>
      <c r="Z81" s="146"/>
      <c r="AA81" s="153"/>
    </row>
    <row r="82" spans="1:27">
      <c r="A82" s="149" t="str">
        <f t="shared" si="35"/>
        <v/>
      </c>
      <c r="B82" s="150">
        <f ca="1">IF(OR(A82="",$B$3=0),0,
IF(AND(照護有術顯示判斷=2,'試算表(16歲-65歲)'!A82&gt;=20,'試算表(16歲-65歲)'!A82&lt;=29),0,
VLOOKUP("P"&amp;REPT("0",2-LEN(商品年期))&amp;商品年期&amp;"S"&amp;"1"&amp;"A"&amp;REPT("0",2-LEN(A82))&amp;A82,INDIRECT(主約費率表),6,FALSE)*$B$3))</f>
        <v>0</v>
      </c>
      <c r="C82" s="150">
        <f t="shared" si="19"/>
        <v>0</v>
      </c>
      <c r="D82" s="150">
        <f t="shared" si="20"/>
        <v>0</v>
      </c>
      <c r="E82" s="150">
        <f t="shared" si="21"/>
        <v>0</v>
      </c>
      <c r="F82" s="150">
        <f t="shared" si="22"/>
        <v>0</v>
      </c>
      <c r="G82" s="151">
        <f t="shared" si="23"/>
        <v>0</v>
      </c>
      <c r="H82" s="151" cm="1">
        <f t="array" ref="H82">IF(OR(A82="",$H$3=0),0,IF(ISERROR($H$3),0,ROUND(INDEX(MT_NP,1,職業等級)+(MAX(0,MT保額-3)*INDEX(MT_NP,2,職業等級)),0)))</f>
        <v>0</v>
      </c>
      <c r="I82" s="150">
        <f t="shared" si="24"/>
        <v>0</v>
      </c>
      <c r="J82" s="150">
        <f t="shared" si="25"/>
        <v>0</v>
      </c>
      <c r="K82" s="150">
        <f t="shared" si="26"/>
        <v>0</v>
      </c>
      <c r="L82" s="150"/>
      <c r="M82" s="150"/>
      <c r="N82" s="152"/>
      <c r="O82" s="146">
        <f ca="1">IF(OR(A82="",$B$3=0),0,
IF(AND(照護有術顯示判斷=2,'試算表(16歲-65歲)'!A82&gt;=20,'試算表(16歲-65歲)'!A82&lt;=29),0,
VLOOKUP("P"&amp;REPT("0",2-LEN(商品年期))&amp;商品年期&amp;"S"&amp;"2"&amp;"A"&amp;REPT("0",2-LEN(A82))&amp;A82,INDIRECT(主約費率表),6,FALSE)*$O$3))</f>
        <v>0</v>
      </c>
      <c r="P82" s="146">
        <f t="shared" si="27"/>
        <v>0</v>
      </c>
      <c r="Q82" s="146">
        <f t="shared" si="28"/>
        <v>0</v>
      </c>
      <c r="R82" s="146">
        <f t="shared" si="29"/>
        <v>0</v>
      </c>
      <c r="S82" s="146">
        <f t="shared" si="30"/>
        <v>0</v>
      </c>
      <c r="T82" s="146">
        <f t="shared" si="31"/>
        <v>0</v>
      </c>
      <c r="U82" s="146" cm="1">
        <f t="array" ref="U82">IF(OR(A82="",$U$3=0),0,IF(ISERROR($U$3),0,ROUND(INDEX(MT_NP,1,職業等級)+(MAX(0,MT保額-3)*INDEX(MT_NP,2,職業等級)),0)))</f>
        <v>0</v>
      </c>
      <c r="V82" s="146">
        <f t="shared" si="32"/>
        <v>0</v>
      </c>
      <c r="W82" s="146">
        <f t="shared" si="33"/>
        <v>0</v>
      </c>
      <c r="X82" s="146">
        <f t="shared" si="34"/>
        <v>0</v>
      </c>
      <c r="Y82" s="146"/>
      <c r="Z82" s="146"/>
      <c r="AA82" s="153"/>
    </row>
    <row r="83" spans="1:27">
      <c r="A83" s="149" t="str">
        <f t="shared" si="35"/>
        <v/>
      </c>
      <c r="B83" s="150">
        <f ca="1">IF(OR(A83="",$B$3=0),0,
IF(AND(照護有術顯示判斷=2,'試算表(16歲-65歲)'!A83&gt;=20,'試算表(16歲-65歲)'!A83&lt;=29),0,
VLOOKUP("P"&amp;REPT("0",2-LEN(商品年期))&amp;商品年期&amp;"S"&amp;"1"&amp;"A"&amp;REPT("0",2-LEN(A83))&amp;A83,INDIRECT(主約費率表),6,FALSE)*$B$3))</f>
        <v>0</v>
      </c>
      <c r="C83" s="150">
        <f t="shared" si="19"/>
        <v>0</v>
      </c>
      <c r="D83" s="150">
        <f t="shared" si="20"/>
        <v>0</v>
      </c>
      <c r="E83" s="150">
        <f t="shared" si="21"/>
        <v>0</v>
      </c>
      <c r="F83" s="150">
        <f t="shared" si="22"/>
        <v>0</v>
      </c>
      <c r="G83" s="151">
        <f t="shared" si="23"/>
        <v>0</v>
      </c>
      <c r="H83" s="151" cm="1">
        <f t="array" ref="H83">IF(OR(A83="",$H$3=0),0,IF(ISERROR($H$3),0,ROUND(INDEX(MT_NP,1,職業等級)+(MAX(0,MT保額-3)*INDEX(MT_NP,2,職業等級)),0)))</f>
        <v>0</v>
      </c>
      <c r="I83" s="150">
        <f t="shared" si="24"/>
        <v>0</v>
      </c>
      <c r="J83" s="150">
        <f t="shared" si="25"/>
        <v>0</v>
      </c>
      <c r="K83" s="150">
        <f t="shared" si="26"/>
        <v>0</v>
      </c>
      <c r="L83" s="150"/>
      <c r="M83" s="150"/>
      <c r="N83" s="152"/>
      <c r="O83" s="146">
        <f ca="1">IF(OR(A83="",$B$3=0),0,
IF(AND(照護有術顯示判斷=2,'試算表(16歲-65歲)'!A83&gt;=20,'試算表(16歲-65歲)'!A83&lt;=29),0,
VLOOKUP("P"&amp;REPT("0",2-LEN(商品年期))&amp;商品年期&amp;"S"&amp;"2"&amp;"A"&amp;REPT("0",2-LEN(A83))&amp;A83,INDIRECT(主約費率表),6,FALSE)*$O$3))</f>
        <v>0</v>
      </c>
      <c r="P83" s="146">
        <f t="shared" si="27"/>
        <v>0</v>
      </c>
      <c r="Q83" s="146">
        <f t="shared" si="28"/>
        <v>0</v>
      </c>
      <c r="R83" s="146">
        <f t="shared" si="29"/>
        <v>0</v>
      </c>
      <c r="S83" s="146">
        <f t="shared" si="30"/>
        <v>0</v>
      </c>
      <c r="T83" s="146">
        <f t="shared" si="31"/>
        <v>0</v>
      </c>
      <c r="U83" s="146" cm="1">
        <f t="array" ref="U83">IF(OR(A83="",$U$3=0),0,IF(ISERROR($U$3),0,ROUND(INDEX(MT_NP,1,職業等級)+(MAX(0,MT保額-3)*INDEX(MT_NP,2,職業等級)),0)))</f>
        <v>0</v>
      </c>
      <c r="V83" s="146">
        <f t="shared" si="32"/>
        <v>0</v>
      </c>
      <c r="W83" s="146">
        <f t="shared" si="33"/>
        <v>0</v>
      </c>
      <c r="X83" s="146">
        <f t="shared" si="34"/>
        <v>0</v>
      </c>
      <c r="Y83" s="146"/>
      <c r="Z83" s="146"/>
      <c r="AA83" s="153"/>
    </row>
    <row r="84" spans="1:27">
      <c r="A84" s="149" t="str">
        <f t="shared" si="35"/>
        <v/>
      </c>
      <c r="B84" s="150">
        <f ca="1">IF(OR(A84="",$B$3=0),0,
IF(AND(照護有術顯示判斷=2,'試算表(16歲-65歲)'!A84&gt;=20,'試算表(16歲-65歲)'!A84&lt;=29),0,
VLOOKUP("P"&amp;REPT("0",2-LEN(商品年期))&amp;商品年期&amp;"S"&amp;"1"&amp;"A"&amp;REPT("0",2-LEN(A84))&amp;A84,INDIRECT(主約費率表),6,FALSE)*$B$3))</f>
        <v>0</v>
      </c>
      <c r="C84" s="150">
        <f t="shared" si="19"/>
        <v>0</v>
      </c>
      <c r="D84" s="150">
        <f t="shared" si="20"/>
        <v>0</v>
      </c>
      <c r="E84" s="150">
        <f t="shared" si="21"/>
        <v>0</v>
      </c>
      <c r="F84" s="150">
        <f t="shared" si="22"/>
        <v>0</v>
      </c>
      <c r="G84" s="151">
        <f t="shared" si="23"/>
        <v>0</v>
      </c>
      <c r="H84" s="151" cm="1">
        <f t="array" ref="H84">IF(OR(A84="",$H$3=0),0,IF(ISERROR($H$3),0,ROUND(INDEX(MT_NP,1,職業等級)+(MAX(0,MT保額-3)*INDEX(MT_NP,2,職業等級)),0)))</f>
        <v>0</v>
      </c>
      <c r="I84" s="150">
        <f t="shared" si="24"/>
        <v>0</v>
      </c>
      <c r="J84" s="150">
        <f t="shared" si="25"/>
        <v>0</v>
      </c>
      <c r="K84" s="150">
        <f t="shared" si="26"/>
        <v>0</v>
      </c>
      <c r="L84" s="150"/>
      <c r="M84" s="150"/>
      <c r="N84" s="152"/>
      <c r="O84" s="146">
        <f ca="1">IF(OR(A84="",$B$3=0),0,
IF(AND(照護有術顯示判斷=2,'試算表(16歲-65歲)'!A84&gt;=20,'試算表(16歲-65歲)'!A84&lt;=29),0,
VLOOKUP("P"&amp;REPT("0",2-LEN(商品年期))&amp;商品年期&amp;"S"&amp;"2"&amp;"A"&amp;REPT("0",2-LEN(A84))&amp;A84,INDIRECT(主約費率表),6,FALSE)*$O$3))</f>
        <v>0</v>
      </c>
      <c r="P84" s="146">
        <f t="shared" si="27"/>
        <v>0</v>
      </c>
      <c r="Q84" s="146">
        <f t="shared" si="28"/>
        <v>0</v>
      </c>
      <c r="R84" s="146">
        <f t="shared" si="29"/>
        <v>0</v>
      </c>
      <c r="S84" s="146">
        <f t="shared" si="30"/>
        <v>0</v>
      </c>
      <c r="T84" s="146">
        <f t="shared" si="31"/>
        <v>0</v>
      </c>
      <c r="U84" s="146" cm="1">
        <f t="array" ref="U84">IF(OR(A84="",$U$3=0),0,IF(ISERROR($U$3),0,ROUND(INDEX(MT_NP,1,職業等級)+(MAX(0,MT保額-3)*INDEX(MT_NP,2,職業等級)),0)))</f>
        <v>0</v>
      </c>
      <c r="V84" s="146">
        <f t="shared" si="32"/>
        <v>0</v>
      </c>
      <c r="W84" s="146">
        <f t="shared" si="33"/>
        <v>0</v>
      </c>
      <c r="X84" s="146">
        <f t="shared" si="34"/>
        <v>0</v>
      </c>
      <c r="Y84" s="146"/>
      <c r="Z84" s="146"/>
      <c r="AA84" s="153"/>
    </row>
    <row r="85" spans="1:27">
      <c r="A85" s="149" t="str">
        <f t="shared" si="35"/>
        <v/>
      </c>
      <c r="B85" s="150">
        <f ca="1">IF(OR(A85="",$B$3=0),0,
IF(AND(照護有術顯示判斷=2,'試算表(16歲-65歲)'!A85&gt;=20,'試算表(16歲-65歲)'!A85&lt;=29),0,
VLOOKUP("P"&amp;REPT("0",2-LEN(商品年期))&amp;商品年期&amp;"S"&amp;"1"&amp;"A"&amp;REPT("0",2-LEN(A85))&amp;A85,INDIRECT(主約費率表),6,FALSE)*$B$3))</f>
        <v>0</v>
      </c>
      <c r="C85" s="150">
        <f t="shared" si="19"/>
        <v>0</v>
      </c>
      <c r="D85" s="150">
        <f t="shared" si="20"/>
        <v>0</v>
      </c>
      <c r="E85" s="150">
        <f t="shared" si="21"/>
        <v>0</v>
      </c>
      <c r="F85" s="150">
        <f t="shared" si="22"/>
        <v>0</v>
      </c>
      <c r="G85" s="151">
        <f t="shared" si="23"/>
        <v>0</v>
      </c>
      <c r="H85" s="151" cm="1">
        <f t="array" ref="H85">IF(OR(A85="",$H$3=0),0,IF(ISERROR($H$3),0,ROUND(INDEX(MT_NP,1,職業等級)+(MAX(0,MT保額-3)*INDEX(MT_NP,2,職業等級)),0)))</f>
        <v>0</v>
      </c>
      <c r="I85" s="150">
        <f t="shared" si="24"/>
        <v>0</v>
      </c>
      <c r="J85" s="150">
        <f t="shared" si="25"/>
        <v>0</v>
      </c>
      <c r="K85" s="150">
        <f t="shared" si="26"/>
        <v>0</v>
      </c>
      <c r="L85" s="150"/>
      <c r="M85" s="150"/>
      <c r="N85" s="152"/>
      <c r="O85" s="146">
        <f ca="1">IF(OR(A85="",$B$3=0),0,
IF(AND(照護有術顯示判斷=2,'試算表(16歲-65歲)'!A85&gt;=20,'試算表(16歲-65歲)'!A85&lt;=29),0,
VLOOKUP("P"&amp;REPT("0",2-LEN(商品年期))&amp;商品年期&amp;"S"&amp;"2"&amp;"A"&amp;REPT("0",2-LEN(A85))&amp;A85,INDIRECT(主約費率表),6,FALSE)*$O$3))</f>
        <v>0</v>
      </c>
      <c r="P85" s="146">
        <f t="shared" si="27"/>
        <v>0</v>
      </c>
      <c r="Q85" s="146">
        <f t="shared" si="28"/>
        <v>0</v>
      </c>
      <c r="R85" s="146">
        <f t="shared" si="29"/>
        <v>0</v>
      </c>
      <c r="S85" s="146">
        <f t="shared" si="30"/>
        <v>0</v>
      </c>
      <c r="T85" s="146">
        <f t="shared" si="31"/>
        <v>0</v>
      </c>
      <c r="U85" s="146" cm="1">
        <f t="array" ref="U85">IF(OR(A85="",$U$3=0),0,IF(ISERROR($U$3),0,ROUND(INDEX(MT_NP,1,職業等級)+(MAX(0,MT保額-3)*INDEX(MT_NP,2,職業等級)),0)))</f>
        <v>0</v>
      </c>
      <c r="V85" s="146">
        <f t="shared" si="32"/>
        <v>0</v>
      </c>
      <c r="W85" s="146">
        <f t="shared" si="33"/>
        <v>0</v>
      </c>
      <c r="X85" s="146">
        <f t="shared" si="34"/>
        <v>0</v>
      </c>
      <c r="Y85" s="146"/>
      <c r="Z85" s="146"/>
      <c r="AA85" s="153"/>
    </row>
    <row r="86" spans="1:27">
      <c r="A86" s="149" t="str">
        <f t="shared" si="35"/>
        <v/>
      </c>
      <c r="B86" s="150">
        <f ca="1">IF(OR(A86="",$B$3=0),0,
IF(AND(照護有術顯示判斷=2,'試算表(16歲-65歲)'!A86&gt;=20,'試算表(16歲-65歲)'!A86&lt;=29),0,
VLOOKUP("P"&amp;REPT("0",2-LEN(商品年期))&amp;商品年期&amp;"S"&amp;"1"&amp;"A"&amp;REPT("0",2-LEN(A86))&amp;A86,INDIRECT(主約費率表),6,FALSE)*$B$3))</f>
        <v>0</v>
      </c>
      <c r="C86" s="150">
        <f t="shared" si="19"/>
        <v>0</v>
      </c>
      <c r="D86" s="150">
        <f t="shared" si="20"/>
        <v>0</v>
      </c>
      <c r="E86" s="150">
        <f t="shared" si="21"/>
        <v>0</v>
      </c>
      <c r="F86" s="150">
        <f t="shared" si="22"/>
        <v>0</v>
      </c>
      <c r="G86" s="151">
        <f t="shared" si="23"/>
        <v>0</v>
      </c>
      <c r="H86" s="151" cm="1">
        <f t="array" ref="H86">IF(OR(A86="",$H$3=0),0,IF(ISERROR($H$3),0,ROUND(INDEX(MT_NP,1,職業等級)+(MAX(0,MT保額-3)*INDEX(MT_NP,2,職業等級)),0)))</f>
        <v>0</v>
      </c>
      <c r="I86" s="150">
        <f t="shared" si="24"/>
        <v>0</v>
      </c>
      <c r="J86" s="150">
        <f t="shared" si="25"/>
        <v>0</v>
      </c>
      <c r="K86" s="150">
        <f t="shared" si="26"/>
        <v>0</v>
      </c>
      <c r="L86" s="150"/>
      <c r="M86" s="150"/>
      <c r="N86" s="152"/>
      <c r="O86" s="146">
        <f ca="1">IF(OR(A86="",$B$3=0),0,
IF(AND(照護有術顯示判斷=2,'試算表(16歲-65歲)'!A86&gt;=20,'試算表(16歲-65歲)'!A86&lt;=29),0,
VLOOKUP("P"&amp;REPT("0",2-LEN(商品年期))&amp;商品年期&amp;"S"&amp;"2"&amp;"A"&amp;REPT("0",2-LEN(A86))&amp;A86,INDIRECT(主約費率表),6,FALSE)*$O$3))</f>
        <v>0</v>
      </c>
      <c r="P86" s="146">
        <f t="shared" si="27"/>
        <v>0</v>
      </c>
      <c r="Q86" s="146">
        <f t="shared" si="28"/>
        <v>0</v>
      </c>
      <c r="R86" s="146">
        <f t="shared" si="29"/>
        <v>0</v>
      </c>
      <c r="S86" s="146">
        <f t="shared" si="30"/>
        <v>0</v>
      </c>
      <c r="T86" s="146">
        <f t="shared" si="31"/>
        <v>0</v>
      </c>
      <c r="U86" s="146" cm="1">
        <f t="array" ref="U86">IF(OR(A86="",$U$3=0),0,IF(ISERROR($U$3),0,ROUND(INDEX(MT_NP,1,職業等級)+(MAX(0,MT保額-3)*INDEX(MT_NP,2,職業等級)),0)))</f>
        <v>0</v>
      </c>
      <c r="V86" s="146">
        <f t="shared" si="32"/>
        <v>0</v>
      </c>
      <c r="W86" s="146">
        <f t="shared" si="33"/>
        <v>0</v>
      </c>
      <c r="X86" s="146">
        <f t="shared" si="34"/>
        <v>0</v>
      </c>
      <c r="Y86" s="146"/>
      <c r="Z86" s="146"/>
      <c r="AA86" s="153"/>
    </row>
    <row r="87" spans="1:27">
      <c r="A87" s="149" t="str">
        <f t="shared" si="35"/>
        <v/>
      </c>
      <c r="B87" s="150">
        <f ca="1">IF(OR(A87="",$B$3=0),0,
IF(AND(照護有術顯示判斷=2,'試算表(16歲-65歲)'!A87&gt;=20,'試算表(16歲-65歲)'!A87&lt;=29),0,
VLOOKUP("P"&amp;REPT("0",2-LEN(商品年期))&amp;商品年期&amp;"S"&amp;"1"&amp;"A"&amp;REPT("0",2-LEN(A87))&amp;A87,INDIRECT(主約費率表),6,FALSE)*$B$3))</f>
        <v>0</v>
      </c>
      <c r="C87" s="150">
        <f t="shared" si="19"/>
        <v>0</v>
      </c>
      <c r="D87" s="150">
        <f t="shared" si="20"/>
        <v>0</v>
      </c>
      <c r="E87" s="150">
        <f t="shared" si="21"/>
        <v>0</v>
      </c>
      <c r="F87" s="150">
        <f t="shared" si="22"/>
        <v>0</v>
      </c>
      <c r="G87" s="151">
        <f t="shared" si="23"/>
        <v>0</v>
      </c>
      <c r="H87" s="151" cm="1">
        <f t="array" ref="H87">IF(OR(A87="",$H$3=0),0,IF(ISERROR($H$3),0,ROUND(INDEX(MT_NP,1,職業等級)+(MAX(0,MT保額-3)*INDEX(MT_NP,2,職業等級)),0)))</f>
        <v>0</v>
      </c>
      <c r="I87" s="150">
        <f t="shared" si="24"/>
        <v>0</v>
      </c>
      <c r="J87" s="150">
        <f t="shared" si="25"/>
        <v>0</v>
      </c>
      <c r="K87" s="150">
        <f t="shared" si="26"/>
        <v>0</v>
      </c>
      <c r="L87" s="150"/>
      <c r="M87" s="150"/>
      <c r="N87" s="152"/>
      <c r="O87" s="146">
        <f ca="1">IF(OR(A87="",$B$3=0),0,
IF(AND(照護有術顯示判斷=2,'試算表(16歲-65歲)'!A87&gt;=20,'試算表(16歲-65歲)'!A87&lt;=29),0,
VLOOKUP("P"&amp;REPT("0",2-LEN(商品年期))&amp;商品年期&amp;"S"&amp;"2"&amp;"A"&amp;REPT("0",2-LEN(A87))&amp;A87,INDIRECT(主約費率表),6,FALSE)*$O$3))</f>
        <v>0</v>
      </c>
      <c r="P87" s="146">
        <f t="shared" si="27"/>
        <v>0</v>
      </c>
      <c r="Q87" s="146">
        <f t="shared" si="28"/>
        <v>0</v>
      </c>
      <c r="R87" s="146">
        <f t="shared" si="29"/>
        <v>0</v>
      </c>
      <c r="S87" s="146">
        <f t="shared" si="30"/>
        <v>0</v>
      </c>
      <c r="T87" s="146">
        <f t="shared" si="31"/>
        <v>0</v>
      </c>
      <c r="U87" s="146" cm="1">
        <f t="array" ref="U87">IF(OR(A87="",$U$3=0),0,IF(ISERROR($U$3),0,ROUND(INDEX(MT_NP,1,職業等級)+(MAX(0,MT保額-3)*INDEX(MT_NP,2,職業等級)),0)))</f>
        <v>0</v>
      </c>
      <c r="V87" s="146">
        <f t="shared" si="32"/>
        <v>0</v>
      </c>
      <c r="W87" s="146">
        <f t="shared" si="33"/>
        <v>0</v>
      </c>
      <c r="X87" s="146">
        <f t="shared" si="34"/>
        <v>0</v>
      </c>
      <c r="Y87" s="146"/>
      <c r="Z87" s="146"/>
      <c r="AA87" s="153"/>
    </row>
    <row r="88" spans="1:27">
      <c r="A88" s="149" t="str">
        <f t="shared" si="35"/>
        <v/>
      </c>
      <c r="B88" s="150">
        <f ca="1">IF(OR(A88="",$B$3=0),0,
IF(AND(照護有術顯示判斷=2,'試算表(16歲-65歲)'!A88&gt;=20,'試算表(16歲-65歲)'!A88&lt;=29),0,
VLOOKUP("P"&amp;REPT("0",2-LEN(商品年期))&amp;商品年期&amp;"S"&amp;"1"&amp;"A"&amp;REPT("0",2-LEN(A88))&amp;A88,INDIRECT(主約費率表),6,FALSE)*$B$3))</f>
        <v>0</v>
      </c>
      <c r="C88" s="150">
        <f t="shared" si="19"/>
        <v>0</v>
      </c>
      <c r="D88" s="150">
        <f t="shared" si="20"/>
        <v>0</v>
      </c>
      <c r="E88" s="150">
        <f t="shared" si="21"/>
        <v>0</v>
      </c>
      <c r="F88" s="150">
        <f t="shared" si="22"/>
        <v>0</v>
      </c>
      <c r="G88" s="151">
        <f t="shared" si="23"/>
        <v>0</v>
      </c>
      <c r="H88" s="151" cm="1">
        <f t="array" ref="H88">IF(OR(A88="",$H$3=0),0,IF(ISERROR($H$3),0,ROUND(INDEX(MT_NP,1,職業等級)+(MAX(0,MT保額-3)*INDEX(MT_NP,2,職業等級)),0)))</f>
        <v>0</v>
      </c>
      <c r="I88" s="150">
        <f t="shared" si="24"/>
        <v>0</v>
      </c>
      <c r="J88" s="150">
        <f t="shared" si="25"/>
        <v>0</v>
      </c>
      <c r="K88" s="150">
        <f t="shared" si="26"/>
        <v>0</v>
      </c>
      <c r="L88" s="150"/>
      <c r="M88" s="150"/>
      <c r="N88" s="152"/>
      <c r="O88" s="146">
        <f ca="1">IF(OR(A88="",$B$3=0),0,
IF(AND(照護有術顯示判斷=2,'試算表(16歲-65歲)'!A88&gt;=20,'試算表(16歲-65歲)'!A88&lt;=29),0,
VLOOKUP("P"&amp;REPT("0",2-LEN(商品年期))&amp;商品年期&amp;"S"&amp;"2"&amp;"A"&amp;REPT("0",2-LEN(A88))&amp;A88,INDIRECT(主約費率表),6,FALSE)*$O$3))</f>
        <v>0</v>
      </c>
      <c r="P88" s="146">
        <f t="shared" si="27"/>
        <v>0</v>
      </c>
      <c r="Q88" s="146">
        <f t="shared" si="28"/>
        <v>0</v>
      </c>
      <c r="R88" s="146">
        <f t="shared" si="29"/>
        <v>0</v>
      </c>
      <c r="S88" s="146">
        <f t="shared" si="30"/>
        <v>0</v>
      </c>
      <c r="T88" s="146">
        <f t="shared" si="31"/>
        <v>0</v>
      </c>
      <c r="U88" s="146" cm="1">
        <f t="array" ref="U88">IF(OR(A88="",$U$3=0),0,IF(ISERROR($U$3),0,ROUND(INDEX(MT_NP,1,職業等級)+(MAX(0,MT保額-3)*INDEX(MT_NP,2,職業等級)),0)))</f>
        <v>0</v>
      </c>
      <c r="V88" s="146">
        <f t="shared" si="32"/>
        <v>0</v>
      </c>
      <c r="W88" s="146">
        <f t="shared" si="33"/>
        <v>0</v>
      </c>
      <c r="X88" s="146">
        <f t="shared" si="34"/>
        <v>0</v>
      </c>
      <c r="Y88" s="146"/>
      <c r="Z88" s="146"/>
      <c r="AA88" s="153"/>
    </row>
    <row r="89" spans="1:27">
      <c r="A89" s="149" t="str">
        <f t="shared" si="35"/>
        <v/>
      </c>
      <c r="B89" s="150">
        <f ca="1">IF(OR(A89="",$B$3=0),0,
IF(AND(照護有術顯示判斷=2,'試算表(16歲-65歲)'!A89&gt;=20,'試算表(16歲-65歲)'!A89&lt;=29),0,
VLOOKUP("P"&amp;REPT("0",2-LEN(商品年期))&amp;商品年期&amp;"S"&amp;"1"&amp;"A"&amp;REPT("0",2-LEN(A89))&amp;A89,INDIRECT(主約費率表),6,FALSE)*$B$3))</f>
        <v>0</v>
      </c>
      <c r="C89" s="150">
        <f t="shared" si="19"/>
        <v>0</v>
      </c>
      <c r="D89" s="150">
        <f t="shared" si="20"/>
        <v>0</v>
      </c>
      <c r="E89" s="150">
        <f t="shared" si="21"/>
        <v>0</v>
      </c>
      <c r="F89" s="150">
        <f t="shared" si="22"/>
        <v>0</v>
      </c>
      <c r="G89" s="151">
        <f t="shared" si="23"/>
        <v>0</v>
      </c>
      <c r="H89" s="151" cm="1">
        <f t="array" ref="H89">IF(OR(A89="",$H$3=0),0,IF(ISERROR($H$3),0,ROUND(INDEX(MT_NP,1,職業等級)+(MAX(0,MT保額-3)*INDEX(MT_NP,2,職業等級)),0)))</f>
        <v>0</v>
      </c>
      <c r="I89" s="150">
        <f t="shared" si="24"/>
        <v>0</v>
      </c>
      <c r="J89" s="150">
        <f t="shared" si="25"/>
        <v>0</v>
      </c>
      <c r="K89" s="150">
        <f t="shared" si="26"/>
        <v>0</v>
      </c>
      <c r="L89" s="150"/>
      <c r="M89" s="150"/>
      <c r="N89" s="152"/>
      <c r="O89" s="146">
        <f ca="1">IF(OR(A89="",$B$3=0),0,
IF(AND(照護有術顯示判斷=2,'試算表(16歲-65歲)'!A89&gt;=20,'試算表(16歲-65歲)'!A89&lt;=29),0,
VLOOKUP("P"&amp;REPT("0",2-LEN(商品年期))&amp;商品年期&amp;"S"&amp;"2"&amp;"A"&amp;REPT("0",2-LEN(A89))&amp;A89,INDIRECT(主約費率表),6,FALSE)*$O$3))</f>
        <v>0</v>
      </c>
      <c r="P89" s="146">
        <f t="shared" si="27"/>
        <v>0</v>
      </c>
      <c r="Q89" s="146">
        <f t="shared" si="28"/>
        <v>0</v>
      </c>
      <c r="R89" s="146">
        <f t="shared" si="29"/>
        <v>0</v>
      </c>
      <c r="S89" s="146">
        <f t="shared" si="30"/>
        <v>0</v>
      </c>
      <c r="T89" s="146">
        <f t="shared" si="31"/>
        <v>0</v>
      </c>
      <c r="U89" s="146" cm="1">
        <f t="array" ref="U89">IF(OR(A89="",$U$3=0),0,IF(ISERROR($U$3),0,ROUND(INDEX(MT_NP,1,職業等級)+(MAX(0,MT保額-3)*INDEX(MT_NP,2,職業等級)),0)))</f>
        <v>0</v>
      </c>
      <c r="V89" s="146">
        <f t="shared" si="32"/>
        <v>0</v>
      </c>
      <c r="W89" s="146">
        <f t="shared" si="33"/>
        <v>0</v>
      </c>
      <c r="X89" s="146">
        <f t="shared" si="34"/>
        <v>0</v>
      </c>
      <c r="Y89" s="146"/>
      <c r="Z89" s="146"/>
      <c r="AA89" s="153"/>
    </row>
    <row r="90" spans="1:27">
      <c r="A90" s="149" t="str">
        <f t="shared" si="35"/>
        <v/>
      </c>
      <c r="B90" s="150">
        <f ca="1">IF(OR(A90="",$B$3=0),0,
IF(AND(照護有術顯示判斷=2,'試算表(16歲-65歲)'!A90&gt;=20,'試算表(16歲-65歲)'!A90&lt;=29),0,
VLOOKUP("P"&amp;REPT("0",2-LEN(商品年期))&amp;商品年期&amp;"S"&amp;"1"&amp;"A"&amp;REPT("0",2-LEN(A90))&amp;A90,INDIRECT(主約費率表),6,FALSE)*$B$3))</f>
        <v>0</v>
      </c>
      <c r="C90" s="150">
        <f t="shared" si="19"/>
        <v>0</v>
      </c>
      <c r="D90" s="150">
        <f t="shared" si="20"/>
        <v>0</v>
      </c>
      <c r="E90" s="150">
        <f t="shared" si="21"/>
        <v>0</v>
      </c>
      <c r="F90" s="150">
        <f t="shared" si="22"/>
        <v>0</v>
      </c>
      <c r="G90" s="151">
        <f t="shared" si="23"/>
        <v>0</v>
      </c>
      <c r="H90" s="151" cm="1">
        <f t="array" ref="H90">IF(OR(A90="",$H$3=0),0,IF(ISERROR($H$3),0,ROUND(INDEX(MT_NP,1,職業等級)+(MAX(0,MT保額-3)*INDEX(MT_NP,2,職業等級)),0)))</f>
        <v>0</v>
      </c>
      <c r="I90" s="150">
        <f t="shared" si="24"/>
        <v>0</v>
      </c>
      <c r="J90" s="150">
        <f t="shared" si="25"/>
        <v>0</v>
      </c>
      <c r="K90" s="150">
        <f t="shared" si="26"/>
        <v>0</v>
      </c>
      <c r="L90" s="150"/>
      <c r="M90" s="150"/>
      <c r="N90" s="152"/>
      <c r="O90" s="146">
        <f ca="1">IF(OR(A90="",$B$3=0),0,
IF(AND(照護有術顯示判斷=2,'試算表(16歲-65歲)'!A90&gt;=20,'試算表(16歲-65歲)'!A90&lt;=29),0,
VLOOKUP("P"&amp;REPT("0",2-LEN(商品年期))&amp;商品年期&amp;"S"&amp;"2"&amp;"A"&amp;REPT("0",2-LEN(A90))&amp;A90,INDIRECT(主約費率表),6,FALSE)*$O$3))</f>
        <v>0</v>
      </c>
      <c r="P90" s="146">
        <f t="shared" si="27"/>
        <v>0</v>
      </c>
      <c r="Q90" s="146">
        <f t="shared" si="28"/>
        <v>0</v>
      </c>
      <c r="R90" s="146">
        <f t="shared" si="29"/>
        <v>0</v>
      </c>
      <c r="S90" s="146">
        <f t="shared" si="30"/>
        <v>0</v>
      </c>
      <c r="T90" s="146">
        <f t="shared" si="31"/>
        <v>0</v>
      </c>
      <c r="U90" s="146" cm="1">
        <f t="array" ref="U90">IF(OR(A90="",$U$3=0),0,IF(ISERROR($U$3),0,ROUND(INDEX(MT_NP,1,職業等級)+(MAX(0,MT保額-3)*INDEX(MT_NP,2,職業等級)),0)))</f>
        <v>0</v>
      </c>
      <c r="V90" s="146">
        <f t="shared" si="32"/>
        <v>0</v>
      </c>
      <c r="W90" s="146">
        <f t="shared" si="33"/>
        <v>0</v>
      </c>
      <c r="X90" s="146">
        <f t="shared" si="34"/>
        <v>0</v>
      </c>
      <c r="Y90" s="146"/>
      <c r="Z90" s="146"/>
      <c r="AA90" s="153"/>
    </row>
  </sheetData>
  <sheetProtection algorithmName="SHA-512" hashValue="jhhc74+9HQn6wsh2FK0pVCB+Nom4CUXKRXUqPKI/ZSJmO7xVxjGxtca1kRt6DOi1iCnoHmDqU2TpchIz8Zm5AQ==" saltValue="fHQT7EwOhSOUG+lwJL1jAA==" spinCount="100000" sheet="1" objects="1" scenarios="1"/>
  <mergeCells count="2">
    <mergeCell ref="B1:N1"/>
    <mergeCell ref="O1:AA1"/>
  </mergeCells>
  <phoneticPr fontId="2"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4EA1C-AC21-5345-BBE1-B27F7E02123F}">
  <sheetPr>
    <tabColor rgb="FFFF5757"/>
  </sheetPr>
  <dimension ref="A1:AA90"/>
  <sheetViews>
    <sheetView topLeftCell="AB1" zoomScale="90" zoomScaleNormal="90" workbookViewId="0">
      <selection activeCell="C5" sqref="C5:J5"/>
    </sheetView>
  </sheetViews>
  <sheetFormatPr defaultColWidth="11.453125" defaultRowHeight="12.5"/>
  <cols>
    <col min="1" max="27" width="11.453125" style="155" hidden="1" customWidth="1"/>
    <col min="28" max="28" width="11.453125" style="155" customWidth="1"/>
    <col min="29" max="16384" width="11.453125" style="155"/>
  </cols>
  <sheetData>
    <row r="1" spans="1:27" ht="13">
      <c r="A1" s="154"/>
      <c r="B1" s="280" t="s">
        <v>274</v>
      </c>
      <c r="C1" s="280"/>
      <c r="D1" s="280"/>
      <c r="E1" s="280"/>
      <c r="F1" s="280"/>
      <c r="G1" s="280"/>
      <c r="H1" s="280"/>
      <c r="I1" s="280"/>
      <c r="J1" s="280"/>
      <c r="K1" s="280"/>
      <c r="L1" s="280"/>
      <c r="M1" s="280"/>
      <c r="N1" s="281"/>
      <c r="O1" s="282" t="s">
        <v>275</v>
      </c>
      <c r="P1" s="283"/>
      <c r="Q1" s="283"/>
      <c r="R1" s="283"/>
      <c r="S1" s="283"/>
      <c r="T1" s="283"/>
      <c r="U1" s="283"/>
      <c r="V1" s="283"/>
      <c r="W1" s="283"/>
      <c r="X1" s="283"/>
      <c r="Y1" s="283"/>
      <c r="Z1" s="283"/>
      <c r="AA1" s="283"/>
    </row>
    <row r="2" spans="1:27">
      <c r="A2" s="149"/>
      <c r="B2" s="152" t="str">
        <f>商品代號</f>
        <v>AHIRLB1</v>
      </c>
      <c r="C2" s="152" t="str">
        <f>BNLTRN1商品代號</f>
        <v>BNLTRN1</v>
      </c>
      <c r="D2" s="152" t="str">
        <f>ADDNTR1商品代號</f>
        <v>ADDNTR1</v>
      </c>
      <c r="E2" s="152" t="str">
        <f>AMRNTR1商品代號</f>
        <v>AMRNTR1</v>
      </c>
      <c r="F2" s="152" t="str">
        <f>DPAA商品代號</f>
        <v>DPAA</v>
      </c>
      <c r="G2" s="152" t="str">
        <f>ML商品代號</f>
        <v>ML</v>
      </c>
      <c r="H2" s="152" t="str">
        <f>MT商品代號</f>
        <v>MT</v>
      </c>
      <c r="I2" s="152" t="str">
        <f>ACCNTR1商品代號</f>
        <v>ACCNTR1</v>
      </c>
      <c r="J2" s="152" t="str">
        <f>ACCNTR2商品代號</f>
        <v>ACCNTR2</v>
      </c>
      <c r="K2" s="152" t="str">
        <f>ACCNTR3商品代號</f>
        <v>ACCNTR3</v>
      </c>
      <c r="L2" s="152"/>
      <c r="M2" s="152"/>
      <c r="N2" s="152"/>
      <c r="O2" s="146" t="str">
        <f>商品代號</f>
        <v>AHIRLB1</v>
      </c>
      <c r="P2" s="146" t="str">
        <f>BNLTRN1商品代號</f>
        <v>BNLTRN1</v>
      </c>
      <c r="Q2" s="146" t="str">
        <f>ADDNTR1商品代號</f>
        <v>ADDNTR1</v>
      </c>
      <c r="R2" s="146" t="str">
        <f>AMRNTR1商品代號</f>
        <v>AMRNTR1</v>
      </c>
      <c r="S2" s="146" t="str">
        <f>DPAA商品代號</f>
        <v>DPAA</v>
      </c>
      <c r="T2" s="146" t="str">
        <f>ML商品代號</f>
        <v>ML</v>
      </c>
      <c r="U2" s="146" t="str">
        <f>MT商品代號</f>
        <v>MT</v>
      </c>
      <c r="V2" s="146" t="str">
        <f>ACCNTR1商品代號</f>
        <v>ACCNTR1</v>
      </c>
      <c r="W2" s="146" t="str">
        <f>ACCNTR2商品代號</f>
        <v>ACCNTR2</v>
      </c>
      <c r="X2" s="146" t="str">
        <f>ACCNTR3商品代號</f>
        <v>ACCNTR3</v>
      </c>
      <c r="Y2" s="146"/>
      <c r="Z2" s="146"/>
      <c r="AA2" s="153"/>
    </row>
    <row r="3" spans="1:27" ht="13">
      <c r="A3" s="147" t="s">
        <v>276</v>
      </c>
      <c r="B3" s="148">
        <f ca="1">IF(總檢核,VLOOKUP(B2,OP!$E$44:$H$52,4,FALSE),0)</f>
        <v>10</v>
      </c>
      <c r="C3" s="148">
        <f>IF(BNLTRN1檢核,VLOOKUP(C2,OP!$E$44:$H$52,4,FALSE),0)</f>
        <v>0</v>
      </c>
      <c r="D3" s="148">
        <f>IF(ADDNTR1檢核,VLOOKUP(D2,OP!$E$44:$H$52,4,FALSE),0)</f>
        <v>0</v>
      </c>
      <c r="E3" s="148">
        <f>IF(AMRNTR1檢核,VLOOKUP(E2,OP!$E$44:$H$52,4,FALSE),0)</f>
        <v>0</v>
      </c>
      <c r="F3" s="148">
        <f>IF(DPAA檢核,VLOOKUP(F2,OP!$E$44:$H$52,4,FALSE),0)</f>
        <v>0</v>
      </c>
      <c r="G3" s="148">
        <f>IF(ML檢核,VLOOKUP(G2,OP!$E$44:$H$52,4,FALSE),0)</f>
        <v>0</v>
      </c>
      <c r="H3" s="148">
        <f>IF(MT檢核,VLOOKUP(H2,OP!$E$44:$H$52,4,FALSE),0)</f>
        <v>0</v>
      </c>
      <c r="I3" s="148">
        <f>IF(ACCNTR1檢核,VLOOKUP(I2,OP!$E$44:$H$52,4,FALSE),0)</f>
        <v>0</v>
      </c>
      <c r="J3" s="148">
        <f>IF(ACCNTR2檢核,VLOOKUP(J2,OP!$E$44:$H$52,4,FALSE),0)</f>
        <v>0</v>
      </c>
      <c r="K3" s="148">
        <f>IF(ACCNTR3檢核,VLOOKUP(K2,OP!$E$44:$H$53,4,FALSE),0)</f>
        <v>0</v>
      </c>
      <c r="L3" s="148"/>
      <c r="M3" s="148"/>
      <c r="N3" s="148"/>
      <c r="O3" s="148">
        <f ca="1">IF(總檢核,VLOOKUP(O2,OP!$E$44:$H$52,4,FALSE),0)</f>
        <v>10</v>
      </c>
      <c r="P3" s="148">
        <f>IF(BNLTRN1檢核,VLOOKUP(P2,OP!$E$44:$H$52,4,FALSE),0)</f>
        <v>0</v>
      </c>
      <c r="Q3" s="148">
        <f>IF(ADDNTR1檢核,VLOOKUP(Q2,OP!$E$44:$H$52,4,FALSE),0)</f>
        <v>0</v>
      </c>
      <c r="R3" s="148">
        <f>IF(AMRNTR1檢核,VLOOKUP(R2,OP!$E$44:$H$52,4,FALSE),0)</f>
        <v>0</v>
      </c>
      <c r="S3" s="148">
        <f>IF(DPAA檢核,VLOOKUP(S2,OP!$E$44:$H$52,4,FALSE),0)</f>
        <v>0</v>
      </c>
      <c r="T3" s="148">
        <f>IF(ML檢核,VLOOKUP(T2,OP!$E$44:$H$52,4,FALSE),0)</f>
        <v>0</v>
      </c>
      <c r="U3" s="148">
        <f>IF(MT檢核,VLOOKUP(U2,OP!$E$44:$H$52,4,FALSE),0)</f>
        <v>0</v>
      </c>
      <c r="V3" s="148">
        <f>IF(ACCNTR1檢核,VLOOKUP(V2,OP!$E$44:$H$52,4,FALSE),0)</f>
        <v>0</v>
      </c>
      <c r="W3" s="148">
        <f>IF(ACCNTR2檢核,VLOOKUP(W2,OP!$E$44:$H$52,4,FALSE),0)</f>
        <v>0</v>
      </c>
      <c r="X3" s="148">
        <f>IF(ACCNTR3檢核,VLOOKUP(X2,OP!$E$44:$H$53,4,FALSE),0)</f>
        <v>0</v>
      </c>
      <c r="Y3" s="148"/>
      <c r="Z3" s="148"/>
      <c r="AA3" s="148"/>
    </row>
    <row r="4" spans="1:27">
      <c r="A4" s="149">
        <f>IF(分齡表最大顯示年齡&gt;=16,MAX(16,分齡表最小顯示年齡),"")</f>
        <v>16</v>
      </c>
      <c r="B4" s="150" cm="1">
        <f t="array" aca="1" ref="B4" ca="1">IF(OR(A4="",$B$3=0),0,
IF(AND(OR($B$2="ASGNLB1",$B$2="ASGNLB2"),$B$3&gt;30,$A4&gt;49),0,
IF(AND(照護有術顯示判斷=2,'試算表(16歲-65歲)'!A4&gt;=20,'試算表(16歲-65歲)'!A4&lt;=29),0,
VLOOKUP("P"&amp;REPT("0",2-LEN(商品年期))&amp;商品年期&amp;"S"&amp;"1"&amp;"A"&amp;REPT("0",2-LEN(A4))&amp;A4,INDIRECT(主約費率表),6,FALSE)*$B$3)))</f>
        <v>15730</v>
      </c>
      <c r="C4" s="150">
        <f t="shared" ref="C4:C35" si="0">IF(OR(A4="",$C$3=0),0,IF(ISERROR($C$3),0,ROUND($C$3*VLOOKUP("P"&amp;REPT("0",2-LEN(BNLTRN1繳費年期))&amp;BNLTRN1繳費年期&amp;"S"&amp;"1"&amp;"A"&amp;REPT("0",2-LEN(A4))&amp;A4,BNLTRN1_NP,6,FALSE),0)))</f>
        <v>0</v>
      </c>
      <c r="D4" s="150">
        <f t="shared" ref="D4:D35" si="1">IF(OR(A4="",$D$3=0),0,IF(ISERROR($D$3),0,ROUND($D$3*VLOOKUP(""&amp;A4,ADDNTR1_NP,2,FALSE),0)))</f>
        <v>0</v>
      </c>
      <c r="E4" s="150">
        <f t="shared" ref="E4:E35" si="2">IF(OR(A4="",$E$3=0),0,IF(ISERROR($E$3),0,ROUND(VLOOKUP("P"&amp;AMRNTR1計劃&amp;"S"&amp;"1"&amp;"A"&amp;REPT("0",2-LEN(A4))&amp;A4,AMRNTR1_NP,6,FALSE),0)))</f>
        <v>0</v>
      </c>
      <c r="F4" s="150">
        <f t="shared" ref="F4:F35" si="3">IF(OR(A4="",$F$3=0),0,IF(ISERROR($F$3),0,ROUND($F$3*VLOOKUP(IF(A4&lt;15,1,IF(A4=15,2,3)),DPAA_NP,2+職業等級,FALSE),0)))</f>
        <v>0</v>
      </c>
      <c r="G4" s="151">
        <f t="shared" ref="G4:G35" si="4">IF(OR(A4="",$G$3=0),0,IF(ISERROR($G$3),0,ROUND(VLOOKUP("ML-"&amp;ML計劃,ML_NP,1+職業等級,FALSE),0)))</f>
        <v>0</v>
      </c>
      <c r="H4" s="151" cm="1">
        <f t="array" ref="H4">IF(OR(A4="",$H$3=0),0,IF(ISERROR($H$3),0,ROUND(INDEX(MT_NP,1,職業等級)+(MAX(0,MT保額-3)*INDEX(MT_NP,2,職業等級)),0)))</f>
        <v>0</v>
      </c>
      <c r="I4" s="150">
        <f t="shared" ref="I4:I35" si="5">IF(OR(A4="",$I$3=0),0,IF(ISERROR($I$3),0,ROUND($I$3*IF(ISERROR(VLOOKUP("P10"&amp;"S"&amp;"1"&amp;"A"&amp;REPT("0",2-LEN(A4))&amp;A4,ACCNTR1_NP,5,FALSE)),0,VLOOKUP("P10"&amp;"S"&amp;"1"&amp;"A"&amp;REPT("0",2-LEN(A4))&amp;A4,ACCNTR1_NP,5,FALSE)),0)))</f>
        <v>0</v>
      </c>
      <c r="J4" s="150">
        <f t="shared" ref="J4:J35" si="6">IF(OR(A4="",$J$3=0),0,IF(ISERROR($J$3),0,ROUND($J$3*VLOOKUP("P01"&amp;"S"&amp;"1"&amp;"A"&amp;REPT("0",2-LEN(A4))&amp;A4,ACCNTR2_NP,5,FALSE),0)))</f>
        <v>0</v>
      </c>
      <c r="K4" s="150">
        <f t="shared" ref="K4:K35" si="7">IF(OR(A4="",$K$3=0),0,IF(ISERROR($K$3),0,ROUND($K$3*VLOOKUP("P01"&amp;"S"&amp;"1"&amp;"A"&amp;REPT("0",2-LEN(A4))&amp;A4,ACCNTR3_NP,5,FALSE),0)))</f>
        <v>0</v>
      </c>
      <c r="L4" s="150"/>
      <c r="M4" s="150"/>
      <c r="N4" s="152"/>
      <c r="O4" s="146">
        <f ca="1">IF(OR(A4="",$O$3=0),0,
IF(AND(OR($O$2="ASGNLB1",$O$2="ASGNLB2"),$O$3&gt;30,$A4&gt;49),0,
IF(AND(照護有術顯示判斷=2,'試算表(16歲-65歲)'!A4&gt;=20,'試算表(16歲-65歲)'!A4&lt;=29),0,
VLOOKUP("P"&amp;REPT("0",2-LEN(商品年期))&amp;商品年期&amp;"S"&amp;"2"&amp;"A"&amp;REPT("0",2-LEN(A4))&amp;A4,INDIRECT(主約費率表),6,FALSE)*$O$3)))</f>
        <v>15600</v>
      </c>
      <c r="P4" s="146">
        <f t="shared" ref="P4:P35" si="8">IF(OR(A4="",$P$3=0),0,IF(ISERROR($P$3),0,ROUND($P$3*VLOOKUP("P"&amp;REPT("0",2-LEN(BNLTRN1繳費年期))&amp;BNLTRN1繳費年期&amp;"S"&amp;"2"&amp;"A"&amp;REPT("0",2-LEN(A4))&amp;A4,BNLTRN1_NP,6,FALSE),0)))</f>
        <v>0</v>
      </c>
      <c r="Q4" s="146">
        <f t="shared" ref="Q4:Q35" si="9">IF(OR(A4="",$Q$3=0),0,IF(ISERROR($Q$3),0,ROUND($Q$3*VLOOKUP(""&amp;A4,ADDNTR1_NP,3,FALSE),0)))</f>
        <v>0</v>
      </c>
      <c r="R4" s="146">
        <f t="shared" ref="R4:R35" si="10">IF(OR(A4="",$R$3=0),0,IF(ISERROR($R$3),0,ROUND(VLOOKUP("P"&amp;AMRNTR1計劃&amp;"S"&amp;"2"&amp;"A"&amp;REPT("0",2-LEN(A4))&amp;A4,AMRNTR1_NP,6,FALSE),0)))</f>
        <v>0</v>
      </c>
      <c r="S4" s="146">
        <f t="shared" ref="S4:S35" si="11">IF(OR(A4="",$S$3=0),0,IF(ISERROR($S$3),0,ROUND($S$3*VLOOKUP(IF(A4&lt;15,1,IF(A4=15,2,3)),DPAA_NP,2+職業等級,FALSE),0)))</f>
        <v>0</v>
      </c>
      <c r="T4" s="146">
        <f t="shared" ref="T4:T35" si="12">IF(OR(A4="",$T$3=0),0,IF(ISERROR($T$3),0,ROUND(VLOOKUP("ML-"&amp;ML計劃,ML_NP,1+職業等級,FALSE),0)))</f>
        <v>0</v>
      </c>
      <c r="U4" s="146" cm="1">
        <f t="array" ref="U4">IF(OR(A4="",$U$3=0),0,IF(ISERROR($U$3),0,ROUND(INDEX(MT_NP,1,職業等級)+(MAX(0,MT保額-3)*INDEX(MT_NP,2,職業等級)),0)))</f>
        <v>0</v>
      </c>
      <c r="V4" s="146">
        <f t="shared" ref="V4:V35" si="13">IF(OR(A4="",$V$3=0),0,IF(ISERROR($V$3),0,ROUND($V$3*IF(ISERROR(VLOOKUP("P10"&amp;"S"&amp;"2"&amp;"A"&amp;REPT("0",2-LEN(A4))&amp;A4,ACCNTR1_NP,5,FALSE)),0,VLOOKUP("P10"&amp;"S"&amp;"2"&amp;"A"&amp;REPT("0",2-LEN(A4))&amp;A4,ACCNTR1_NP,5,FALSE)),0)))</f>
        <v>0</v>
      </c>
      <c r="W4" s="146">
        <f t="shared" ref="W4:W35" si="14">IF(OR(A4="",$W$3=0),0,IF(ISERROR($W$3),0,ROUND($W$3*VLOOKUP("P01"&amp;"S"&amp;"2"&amp;"A"&amp;REPT("0",2-LEN(A4))&amp;A4,ACCNTR2_NP,5,FALSE),0)))</f>
        <v>0</v>
      </c>
      <c r="X4" s="146">
        <f t="shared" ref="X4:X35" si="15">IF(OR(A4="",$X$3=0),0,IF(ISERROR($X$3),0,ROUND($X$3*VLOOKUP("P01"&amp;"S"&amp;"2"&amp;"A"&amp;REPT("0",2-LEN(A4))&amp;A4,ACCNTR3_NP,5,FALSE),0)))</f>
        <v>0</v>
      </c>
      <c r="Y4" s="146"/>
      <c r="Z4" s="146"/>
      <c r="AA4" s="153"/>
    </row>
    <row r="5" spans="1:27">
      <c r="A5" s="149">
        <f t="shared" ref="A5:A36" si="16">IF(A4="","",IF(OR(A4+1&gt;分齡表最大顯示年齡,A4+1&gt;65),"",A4+1))</f>
        <v>17</v>
      </c>
      <c r="B5" s="150" cm="1">
        <f t="array" aca="1" ref="B5" ca="1">IF(OR(A5="",$B$3=0),0,
IF(AND(OR($B$2="ASGNLB1",$B$2="ASGNLB2"),$B$3&gt;30,$A5&gt;49),0,
IF(AND(照護有術顯示判斷=2,'試算表(16歲-65歲)'!A5&gt;=20,'試算表(16歲-65歲)'!A5&lt;=29),0,
VLOOKUP("P"&amp;REPT("0",2-LEN(商品年期))&amp;商品年期&amp;"S"&amp;"1"&amp;"A"&amp;REPT("0",2-LEN(A5))&amp;A5,INDIRECT(主約費率表),6,FALSE)*$B$3)))</f>
        <v>16040</v>
      </c>
      <c r="C5" s="150">
        <f t="shared" si="0"/>
        <v>0</v>
      </c>
      <c r="D5" s="150">
        <f t="shared" si="1"/>
        <v>0</v>
      </c>
      <c r="E5" s="150">
        <f t="shared" si="2"/>
        <v>0</v>
      </c>
      <c r="F5" s="150">
        <f t="shared" si="3"/>
        <v>0</v>
      </c>
      <c r="G5" s="151">
        <f t="shared" si="4"/>
        <v>0</v>
      </c>
      <c r="H5" s="151" cm="1">
        <f t="array" ref="H5">IF(OR(A5="",$H$3=0),0,IF(ISERROR($H$3),0,ROUND(INDEX(MT_NP,1,職業等級)+(MAX(0,MT保額-3)*INDEX(MT_NP,2,職業等級)),0)))</f>
        <v>0</v>
      </c>
      <c r="I5" s="150">
        <f t="shared" si="5"/>
        <v>0</v>
      </c>
      <c r="J5" s="150">
        <f t="shared" si="6"/>
        <v>0</v>
      </c>
      <c r="K5" s="150">
        <f t="shared" si="7"/>
        <v>0</v>
      </c>
      <c r="L5" s="150"/>
      <c r="M5" s="150"/>
      <c r="N5" s="152"/>
      <c r="O5" s="146">
        <f ca="1">IF(OR(A5="",$O$3=0),0,
IF(AND(OR($O$2="ASGNLB1",$O$2="ASGNLB2"),$O$3&gt;30,$A5&gt;49),0,
IF(AND(照護有術顯示判斷=2,'試算表(16歲-65歲)'!A5&gt;=20,'試算表(16歲-65歲)'!A5&lt;=29),0,
VLOOKUP("P"&amp;REPT("0",2-LEN(商品年期))&amp;商品年期&amp;"S"&amp;"2"&amp;"A"&amp;REPT("0",2-LEN(A5))&amp;A5,INDIRECT(主約費率表),6,FALSE)*$O$3)))</f>
        <v>15830</v>
      </c>
      <c r="P5" s="146">
        <f t="shared" si="8"/>
        <v>0</v>
      </c>
      <c r="Q5" s="146">
        <f t="shared" si="9"/>
        <v>0</v>
      </c>
      <c r="R5" s="146">
        <f t="shared" si="10"/>
        <v>0</v>
      </c>
      <c r="S5" s="146">
        <f t="shared" si="11"/>
        <v>0</v>
      </c>
      <c r="T5" s="146">
        <f t="shared" si="12"/>
        <v>0</v>
      </c>
      <c r="U5" s="146" cm="1">
        <f t="array" ref="U5">IF(OR(A5="",$U$3=0),0,IF(ISERROR($U$3),0,ROUND(INDEX(MT_NP,1,職業等級)+(MAX(0,MT保額-3)*INDEX(MT_NP,2,職業等級)),0)))</f>
        <v>0</v>
      </c>
      <c r="V5" s="146">
        <f t="shared" si="13"/>
        <v>0</v>
      </c>
      <c r="W5" s="146">
        <f t="shared" si="14"/>
        <v>0</v>
      </c>
      <c r="X5" s="146">
        <f t="shared" si="15"/>
        <v>0</v>
      </c>
      <c r="Y5" s="146"/>
      <c r="Z5" s="146"/>
      <c r="AA5" s="153"/>
    </row>
    <row r="6" spans="1:27">
      <c r="A6" s="149">
        <f t="shared" si="16"/>
        <v>18</v>
      </c>
      <c r="B6" s="150" cm="1">
        <f t="array" aca="1" ref="B6" ca="1">IF(OR(A6="",$B$3=0),0,
IF(AND(OR($B$2="ASGNLB1",$B$2="ASGNLB2"),$B$3&gt;30,$A6&gt;49),0,
IF(AND(照護有術顯示判斷=2,'試算表(16歲-65歲)'!A6&gt;=20,'試算表(16歲-65歲)'!A6&lt;=29),0,
VLOOKUP("P"&amp;REPT("0",2-LEN(商品年期))&amp;商品年期&amp;"S"&amp;"1"&amp;"A"&amp;REPT("0",2-LEN(A6))&amp;A6,INDIRECT(主約費率表),6,FALSE)*$B$3)))</f>
        <v>16340</v>
      </c>
      <c r="C6" s="150">
        <f t="shared" si="0"/>
        <v>0</v>
      </c>
      <c r="D6" s="150">
        <f t="shared" si="1"/>
        <v>0</v>
      </c>
      <c r="E6" s="150">
        <f t="shared" si="2"/>
        <v>0</v>
      </c>
      <c r="F6" s="150">
        <f t="shared" si="3"/>
        <v>0</v>
      </c>
      <c r="G6" s="151">
        <f t="shared" si="4"/>
        <v>0</v>
      </c>
      <c r="H6" s="151" cm="1">
        <f t="array" ref="H6">IF(OR(A6="",$H$3=0),0,IF(ISERROR($H$3),0,ROUND(INDEX(MT_NP,1,職業等級)+(MAX(0,MT保額-3)*INDEX(MT_NP,2,職業等級)),0)))</f>
        <v>0</v>
      </c>
      <c r="I6" s="150">
        <f t="shared" si="5"/>
        <v>0</v>
      </c>
      <c r="J6" s="150">
        <f t="shared" si="6"/>
        <v>0</v>
      </c>
      <c r="K6" s="150">
        <f t="shared" si="7"/>
        <v>0</v>
      </c>
      <c r="L6" s="150"/>
      <c r="M6" s="150"/>
      <c r="N6" s="152"/>
      <c r="O6" s="146">
        <f ca="1">IF(OR(A6="",$O$3=0),0,
IF(AND(OR($O$2="ASGNLB1",$O$2="ASGNLB2"),$O$3&gt;30,$A6&gt;49),0,
IF(AND(照護有術顯示判斷=2,'試算表(16歲-65歲)'!A6&gt;=20,'試算表(16歲-65歲)'!A6&lt;=29),0,
VLOOKUP("P"&amp;REPT("0",2-LEN(商品年期))&amp;商品年期&amp;"S"&amp;"2"&amp;"A"&amp;REPT("0",2-LEN(A6))&amp;A6,INDIRECT(主約費率表),6,FALSE)*$O$3)))</f>
        <v>16070</v>
      </c>
      <c r="P6" s="146">
        <f t="shared" si="8"/>
        <v>0</v>
      </c>
      <c r="Q6" s="146">
        <f t="shared" si="9"/>
        <v>0</v>
      </c>
      <c r="R6" s="146">
        <f t="shared" si="10"/>
        <v>0</v>
      </c>
      <c r="S6" s="146">
        <f t="shared" si="11"/>
        <v>0</v>
      </c>
      <c r="T6" s="146">
        <f t="shared" si="12"/>
        <v>0</v>
      </c>
      <c r="U6" s="146" cm="1">
        <f t="array" ref="U6">IF(OR(A6="",$U$3=0),0,IF(ISERROR($U$3),0,ROUND(INDEX(MT_NP,1,職業等級)+(MAX(0,MT保額-3)*INDEX(MT_NP,2,職業等級)),0)))</f>
        <v>0</v>
      </c>
      <c r="V6" s="146">
        <f t="shared" si="13"/>
        <v>0</v>
      </c>
      <c r="W6" s="146">
        <f t="shared" si="14"/>
        <v>0</v>
      </c>
      <c r="X6" s="146">
        <f t="shared" si="15"/>
        <v>0</v>
      </c>
      <c r="Y6" s="146"/>
      <c r="Z6" s="146"/>
      <c r="AA6" s="153"/>
    </row>
    <row r="7" spans="1:27">
      <c r="A7" s="149">
        <f t="shared" si="16"/>
        <v>19</v>
      </c>
      <c r="B7" s="150" cm="1">
        <f t="array" aca="1" ref="B7" ca="1">IF(OR(A7="",$B$3=0),0,
IF(AND(OR($B$2="ASGNLB1",$B$2="ASGNLB2"),$B$3&gt;30,$A7&gt;49),0,
IF(AND(照護有術顯示判斷=2,'試算表(16歲-65歲)'!A7&gt;=20,'試算表(16歲-65歲)'!A7&lt;=29),0,
VLOOKUP("P"&amp;REPT("0",2-LEN(商品年期))&amp;商品年期&amp;"S"&amp;"1"&amp;"A"&amp;REPT("0",2-LEN(A7))&amp;A7,INDIRECT(主約費率表),6,FALSE)*$B$3)))</f>
        <v>16650</v>
      </c>
      <c r="C7" s="150">
        <f t="shared" si="0"/>
        <v>0</v>
      </c>
      <c r="D7" s="150">
        <f t="shared" si="1"/>
        <v>0</v>
      </c>
      <c r="E7" s="150">
        <f t="shared" si="2"/>
        <v>0</v>
      </c>
      <c r="F7" s="150">
        <f t="shared" si="3"/>
        <v>0</v>
      </c>
      <c r="G7" s="151">
        <f t="shared" si="4"/>
        <v>0</v>
      </c>
      <c r="H7" s="151" cm="1">
        <f t="array" ref="H7">IF(OR(A7="",$H$3=0),0,IF(ISERROR($H$3),0,ROUND(INDEX(MT_NP,1,職業等級)+(MAX(0,MT保額-3)*INDEX(MT_NP,2,職業等級)),0)))</f>
        <v>0</v>
      </c>
      <c r="I7" s="150">
        <f t="shared" si="5"/>
        <v>0</v>
      </c>
      <c r="J7" s="150">
        <f t="shared" si="6"/>
        <v>0</v>
      </c>
      <c r="K7" s="150">
        <f t="shared" si="7"/>
        <v>0</v>
      </c>
      <c r="L7" s="150"/>
      <c r="M7" s="150"/>
      <c r="N7" s="152"/>
      <c r="O7" s="146">
        <f ca="1">IF(OR(A7="",$O$3=0),0,
IF(AND(OR($O$2="ASGNLB1",$O$2="ASGNLB2"),$O$3&gt;30,$A7&gt;49),0,
IF(AND(照護有術顯示判斷=2,'試算表(16歲-65歲)'!A7&gt;=20,'試算表(16歲-65歲)'!A7&lt;=29),0,
VLOOKUP("P"&amp;REPT("0",2-LEN(商品年期))&amp;商品年期&amp;"S"&amp;"2"&amp;"A"&amp;REPT("0",2-LEN(A7))&amp;A7,INDIRECT(主約費率表),6,FALSE)*$O$3)))</f>
        <v>16300</v>
      </c>
      <c r="P7" s="146">
        <f t="shared" si="8"/>
        <v>0</v>
      </c>
      <c r="Q7" s="146">
        <f t="shared" si="9"/>
        <v>0</v>
      </c>
      <c r="R7" s="146">
        <f t="shared" si="10"/>
        <v>0</v>
      </c>
      <c r="S7" s="146">
        <f t="shared" si="11"/>
        <v>0</v>
      </c>
      <c r="T7" s="146">
        <f t="shared" si="12"/>
        <v>0</v>
      </c>
      <c r="U7" s="146" cm="1">
        <f t="array" ref="U7">IF(OR(A7="",$U$3=0),0,IF(ISERROR($U$3),0,ROUND(INDEX(MT_NP,1,職業等級)+(MAX(0,MT保額-3)*INDEX(MT_NP,2,職業等級)),0)))</f>
        <v>0</v>
      </c>
      <c r="V7" s="146">
        <f t="shared" si="13"/>
        <v>0</v>
      </c>
      <c r="W7" s="146">
        <f t="shared" si="14"/>
        <v>0</v>
      </c>
      <c r="X7" s="146">
        <f t="shared" si="15"/>
        <v>0</v>
      </c>
      <c r="Y7" s="146"/>
      <c r="Z7" s="146"/>
      <c r="AA7" s="153"/>
    </row>
    <row r="8" spans="1:27">
      <c r="A8" s="149">
        <f t="shared" si="16"/>
        <v>20</v>
      </c>
      <c r="B8" s="150" cm="1">
        <f t="array" aca="1" ref="B8" ca="1">IF(OR(A8="",$B$3=0),0,
IF(AND(OR($B$2="ASGNLB1",$B$2="ASGNLB2"),$B$3&gt;30,$A8&gt;49),0,
IF(AND(照護有術顯示判斷=2,'試算表(16歲-65歲)'!A8&gt;=20,'試算表(16歲-65歲)'!A8&lt;=29),0,
VLOOKUP("P"&amp;REPT("0",2-LEN(商品年期))&amp;商品年期&amp;"S"&amp;"1"&amp;"A"&amp;REPT("0",2-LEN(A8))&amp;A8,INDIRECT(主約費率表),6,FALSE)*$B$3)))</f>
        <v>17200</v>
      </c>
      <c r="C8" s="150">
        <f t="shared" si="0"/>
        <v>0</v>
      </c>
      <c r="D8" s="150">
        <f t="shared" si="1"/>
        <v>0</v>
      </c>
      <c r="E8" s="150">
        <f t="shared" si="2"/>
        <v>0</v>
      </c>
      <c r="F8" s="150">
        <f t="shared" si="3"/>
        <v>0</v>
      </c>
      <c r="G8" s="151">
        <f t="shared" si="4"/>
        <v>0</v>
      </c>
      <c r="H8" s="151" cm="1">
        <f t="array" ref="H8">IF(OR(A8="",$H$3=0),0,IF(ISERROR($H$3),0,ROUND(INDEX(MT_NP,1,職業等級)+(MAX(0,MT保額-3)*INDEX(MT_NP,2,職業等級)),0)))</f>
        <v>0</v>
      </c>
      <c r="I8" s="150">
        <f t="shared" si="5"/>
        <v>0</v>
      </c>
      <c r="J8" s="150">
        <f t="shared" si="6"/>
        <v>0</v>
      </c>
      <c r="K8" s="150">
        <f t="shared" si="7"/>
        <v>0</v>
      </c>
      <c r="L8" s="150"/>
      <c r="M8" s="150"/>
      <c r="N8" s="152"/>
      <c r="O8" s="146">
        <f ca="1">IF(OR(A8="",$O$3=0),0,
IF(AND(OR($O$2="ASGNLB1",$O$2="ASGNLB2"),$O$3&gt;30,$A8&gt;49),0,
IF(AND(照護有術顯示判斷=2,'試算表(16歲-65歲)'!A8&gt;=20,'試算表(16歲-65歲)'!A8&lt;=29),0,
VLOOKUP("P"&amp;REPT("0",2-LEN(商品年期))&amp;商品年期&amp;"S"&amp;"2"&amp;"A"&amp;REPT("0",2-LEN(A8))&amp;A8,INDIRECT(主約費率表),6,FALSE)*$O$3)))</f>
        <v>16530</v>
      </c>
      <c r="P8" s="146">
        <f t="shared" si="8"/>
        <v>0</v>
      </c>
      <c r="Q8" s="146">
        <f t="shared" si="9"/>
        <v>0</v>
      </c>
      <c r="R8" s="146">
        <f t="shared" si="10"/>
        <v>0</v>
      </c>
      <c r="S8" s="146">
        <f t="shared" si="11"/>
        <v>0</v>
      </c>
      <c r="T8" s="146">
        <f t="shared" si="12"/>
        <v>0</v>
      </c>
      <c r="U8" s="146" cm="1">
        <f t="array" ref="U8">IF(OR(A8="",$U$3=0),0,IF(ISERROR($U$3),0,ROUND(INDEX(MT_NP,1,職業等級)+(MAX(0,MT保額-3)*INDEX(MT_NP,2,職業等級)),0)))</f>
        <v>0</v>
      </c>
      <c r="V8" s="146">
        <f t="shared" si="13"/>
        <v>0</v>
      </c>
      <c r="W8" s="146">
        <f t="shared" si="14"/>
        <v>0</v>
      </c>
      <c r="X8" s="146">
        <f t="shared" si="15"/>
        <v>0</v>
      </c>
      <c r="Y8" s="146"/>
      <c r="Z8" s="146"/>
      <c r="AA8" s="153"/>
    </row>
    <row r="9" spans="1:27">
      <c r="A9" s="149">
        <f t="shared" si="16"/>
        <v>21</v>
      </c>
      <c r="B9" s="150" cm="1">
        <f t="array" aca="1" ref="B9" ca="1">IF(OR(A9="",$B$3=0),0,
IF(AND(OR($B$2="ASGNLB1",$B$2="ASGNLB2"),$B$3&gt;30,$A9&gt;49),0,
IF(AND(照護有術顯示判斷=2,'試算表(16歲-65歲)'!A9&gt;=20,'試算表(16歲-65歲)'!A9&lt;=29),0,
VLOOKUP("P"&amp;REPT("0",2-LEN(商品年期))&amp;商品年期&amp;"S"&amp;"1"&amp;"A"&amp;REPT("0",2-LEN(A9))&amp;A9,INDIRECT(主約費率表),6,FALSE)*$B$3)))</f>
        <v>17500</v>
      </c>
      <c r="C9" s="150">
        <f t="shared" si="0"/>
        <v>0</v>
      </c>
      <c r="D9" s="150">
        <f t="shared" si="1"/>
        <v>0</v>
      </c>
      <c r="E9" s="150">
        <f t="shared" si="2"/>
        <v>0</v>
      </c>
      <c r="F9" s="150">
        <f t="shared" si="3"/>
        <v>0</v>
      </c>
      <c r="G9" s="151">
        <f t="shared" si="4"/>
        <v>0</v>
      </c>
      <c r="H9" s="151" cm="1">
        <f t="array" ref="H9">IF(OR(A9="",$H$3=0),0,IF(ISERROR($H$3),0,ROUND(INDEX(MT_NP,1,職業等級)+(MAX(0,MT保額-3)*INDEX(MT_NP,2,職業等級)),0)))</f>
        <v>0</v>
      </c>
      <c r="I9" s="150">
        <f t="shared" si="5"/>
        <v>0</v>
      </c>
      <c r="J9" s="150">
        <f t="shared" si="6"/>
        <v>0</v>
      </c>
      <c r="K9" s="150">
        <f t="shared" si="7"/>
        <v>0</v>
      </c>
      <c r="L9" s="150"/>
      <c r="M9" s="150"/>
      <c r="N9" s="152"/>
      <c r="O9" s="146">
        <f ca="1">IF(OR(A9="",$O$3=0),0,
IF(AND(OR($O$2="ASGNLB1",$O$2="ASGNLB2"),$O$3&gt;30,$A9&gt;49),0,
IF(AND(照護有術顯示判斷=2,'試算表(16歲-65歲)'!A9&gt;=20,'試算表(16歲-65歲)'!A9&lt;=29),0,
VLOOKUP("P"&amp;REPT("0",2-LEN(商品年期))&amp;商品年期&amp;"S"&amp;"2"&amp;"A"&amp;REPT("0",2-LEN(A9))&amp;A9,INDIRECT(主約費率表),6,FALSE)*$O$3)))</f>
        <v>16800</v>
      </c>
      <c r="P9" s="146">
        <f t="shared" si="8"/>
        <v>0</v>
      </c>
      <c r="Q9" s="146">
        <f t="shared" si="9"/>
        <v>0</v>
      </c>
      <c r="R9" s="146">
        <f t="shared" si="10"/>
        <v>0</v>
      </c>
      <c r="S9" s="146">
        <f t="shared" si="11"/>
        <v>0</v>
      </c>
      <c r="T9" s="146">
        <f t="shared" si="12"/>
        <v>0</v>
      </c>
      <c r="U9" s="146" cm="1">
        <f t="array" ref="U9">IF(OR(A9="",$U$3=0),0,IF(ISERROR($U$3),0,ROUND(INDEX(MT_NP,1,職業等級)+(MAX(0,MT保額-3)*INDEX(MT_NP,2,職業等級)),0)))</f>
        <v>0</v>
      </c>
      <c r="V9" s="146">
        <f t="shared" si="13"/>
        <v>0</v>
      </c>
      <c r="W9" s="146">
        <f t="shared" si="14"/>
        <v>0</v>
      </c>
      <c r="X9" s="146">
        <f t="shared" si="15"/>
        <v>0</v>
      </c>
      <c r="Y9" s="146"/>
      <c r="Z9" s="146"/>
      <c r="AA9" s="153"/>
    </row>
    <row r="10" spans="1:27">
      <c r="A10" s="149">
        <f t="shared" si="16"/>
        <v>22</v>
      </c>
      <c r="B10" s="150" cm="1">
        <f t="array" aca="1" ref="B10" ca="1">IF(OR(A10="",$B$3=0),0,
IF(AND(OR($B$2="ASGNLB1",$B$2="ASGNLB2"),$B$3&gt;30,$A10&gt;49),0,
IF(AND(照護有術顯示判斷=2,'試算表(16歲-65歲)'!A10&gt;=20,'試算表(16歲-65歲)'!A10&lt;=29),0,
VLOOKUP("P"&amp;REPT("0",2-LEN(商品年期))&amp;商品年期&amp;"S"&amp;"1"&amp;"A"&amp;REPT("0",2-LEN(A10))&amp;A10,INDIRECT(主約費率表),6,FALSE)*$B$3)))</f>
        <v>17790</v>
      </c>
      <c r="C10" s="150">
        <f t="shared" si="0"/>
        <v>0</v>
      </c>
      <c r="D10" s="150">
        <f t="shared" si="1"/>
        <v>0</v>
      </c>
      <c r="E10" s="150">
        <f t="shared" si="2"/>
        <v>0</v>
      </c>
      <c r="F10" s="150">
        <f t="shared" si="3"/>
        <v>0</v>
      </c>
      <c r="G10" s="151">
        <f t="shared" si="4"/>
        <v>0</v>
      </c>
      <c r="H10" s="151" cm="1">
        <f t="array" ref="H10">IF(OR(A10="",$H$3=0),0,IF(ISERROR($H$3),0,ROUND(INDEX(MT_NP,1,職業等級)+(MAX(0,MT保額-3)*INDEX(MT_NP,2,職業等級)),0)))</f>
        <v>0</v>
      </c>
      <c r="I10" s="150">
        <f t="shared" si="5"/>
        <v>0</v>
      </c>
      <c r="J10" s="150">
        <f t="shared" si="6"/>
        <v>0</v>
      </c>
      <c r="K10" s="150">
        <f t="shared" si="7"/>
        <v>0</v>
      </c>
      <c r="L10" s="150"/>
      <c r="M10" s="150"/>
      <c r="N10" s="152"/>
      <c r="O10" s="146">
        <f ca="1">IF(OR(A10="",$O$3=0),0,
IF(AND(OR($O$2="ASGNLB1",$O$2="ASGNLB2"),$O$3&gt;30,$A10&gt;49),0,
IF(AND(照護有術顯示判斷=2,'試算表(16歲-65歲)'!A10&gt;=20,'試算表(16歲-65歲)'!A10&lt;=29),0,
VLOOKUP("P"&amp;REPT("0",2-LEN(商品年期))&amp;商品年期&amp;"S"&amp;"2"&amp;"A"&amp;REPT("0",2-LEN(A10))&amp;A10,INDIRECT(主約費率表),6,FALSE)*$O$3)))</f>
        <v>17040</v>
      </c>
      <c r="P10" s="146">
        <f t="shared" si="8"/>
        <v>0</v>
      </c>
      <c r="Q10" s="146">
        <f t="shared" si="9"/>
        <v>0</v>
      </c>
      <c r="R10" s="146">
        <f t="shared" si="10"/>
        <v>0</v>
      </c>
      <c r="S10" s="146">
        <f t="shared" si="11"/>
        <v>0</v>
      </c>
      <c r="T10" s="146">
        <f t="shared" si="12"/>
        <v>0</v>
      </c>
      <c r="U10" s="146" cm="1">
        <f t="array" ref="U10">IF(OR(A10="",$U$3=0),0,IF(ISERROR($U$3),0,ROUND(INDEX(MT_NP,1,職業等級)+(MAX(0,MT保額-3)*INDEX(MT_NP,2,職業等級)),0)))</f>
        <v>0</v>
      </c>
      <c r="V10" s="146">
        <f t="shared" si="13"/>
        <v>0</v>
      </c>
      <c r="W10" s="146">
        <f t="shared" si="14"/>
        <v>0</v>
      </c>
      <c r="X10" s="146">
        <f t="shared" si="15"/>
        <v>0</v>
      </c>
      <c r="Y10" s="146"/>
      <c r="Z10" s="146"/>
      <c r="AA10" s="153"/>
    </row>
    <row r="11" spans="1:27">
      <c r="A11" s="149">
        <f t="shared" si="16"/>
        <v>23</v>
      </c>
      <c r="B11" s="150" cm="1">
        <f t="array" aca="1" ref="B11" ca="1">IF(OR(A11="",$B$3=0),0,
IF(AND(OR($B$2="ASGNLB1",$B$2="ASGNLB2"),$B$3&gt;30,$A11&gt;49),0,
IF(AND(照護有術顯示判斷=2,'試算表(16歲-65歲)'!A11&gt;=20,'試算表(16歲-65歲)'!A11&lt;=29),0,
VLOOKUP("P"&amp;REPT("0",2-LEN(商品年期))&amp;商品年期&amp;"S"&amp;"1"&amp;"A"&amp;REPT("0",2-LEN(A11))&amp;A11,INDIRECT(主約費率表),6,FALSE)*$B$3)))</f>
        <v>18070</v>
      </c>
      <c r="C11" s="150">
        <f t="shared" si="0"/>
        <v>0</v>
      </c>
      <c r="D11" s="150">
        <f t="shared" si="1"/>
        <v>0</v>
      </c>
      <c r="E11" s="150">
        <f t="shared" si="2"/>
        <v>0</v>
      </c>
      <c r="F11" s="150">
        <f t="shared" si="3"/>
        <v>0</v>
      </c>
      <c r="G11" s="151">
        <f t="shared" si="4"/>
        <v>0</v>
      </c>
      <c r="H11" s="151" cm="1">
        <f t="array" ref="H11">IF(OR(A11="",$H$3=0),0,IF(ISERROR($H$3),0,ROUND(INDEX(MT_NP,1,職業等級)+(MAX(0,MT保額-3)*INDEX(MT_NP,2,職業等級)),0)))</f>
        <v>0</v>
      </c>
      <c r="I11" s="150">
        <f t="shared" si="5"/>
        <v>0</v>
      </c>
      <c r="J11" s="150">
        <f t="shared" si="6"/>
        <v>0</v>
      </c>
      <c r="K11" s="150">
        <f t="shared" si="7"/>
        <v>0</v>
      </c>
      <c r="L11" s="150"/>
      <c r="M11" s="150"/>
      <c r="N11" s="152"/>
      <c r="O11" s="146">
        <f ca="1">IF(OR(A11="",$O$3=0),0,
IF(AND(OR($O$2="ASGNLB1",$O$2="ASGNLB2"),$O$3&gt;30,$A11&gt;49),0,
IF(AND(照護有術顯示判斷=2,'試算表(16歲-65歲)'!A11&gt;=20,'試算表(16歲-65歲)'!A11&lt;=29),0,
VLOOKUP("P"&amp;REPT("0",2-LEN(商品年期))&amp;商品年期&amp;"S"&amp;"2"&amp;"A"&amp;REPT("0",2-LEN(A11))&amp;A11,INDIRECT(主約費率表),6,FALSE)*$O$3)))</f>
        <v>17270</v>
      </c>
      <c r="P11" s="146">
        <f t="shared" si="8"/>
        <v>0</v>
      </c>
      <c r="Q11" s="146">
        <f t="shared" si="9"/>
        <v>0</v>
      </c>
      <c r="R11" s="146">
        <f t="shared" si="10"/>
        <v>0</v>
      </c>
      <c r="S11" s="146">
        <f t="shared" si="11"/>
        <v>0</v>
      </c>
      <c r="T11" s="146">
        <f t="shared" si="12"/>
        <v>0</v>
      </c>
      <c r="U11" s="146" cm="1">
        <f t="array" ref="U11">IF(OR(A11="",$U$3=0),0,IF(ISERROR($U$3),0,ROUND(INDEX(MT_NP,1,職業等級)+(MAX(0,MT保額-3)*INDEX(MT_NP,2,職業等級)),0)))</f>
        <v>0</v>
      </c>
      <c r="V11" s="146">
        <f t="shared" si="13"/>
        <v>0</v>
      </c>
      <c r="W11" s="146">
        <f t="shared" si="14"/>
        <v>0</v>
      </c>
      <c r="X11" s="146">
        <f t="shared" si="15"/>
        <v>0</v>
      </c>
      <c r="Y11" s="146"/>
      <c r="Z11" s="146"/>
      <c r="AA11" s="153"/>
    </row>
    <row r="12" spans="1:27">
      <c r="A12" s="149">
        <f t="shared" si="16"/>
        <v>24</v>
      </c>
      <c r="B12" s="150" cm="1">
        <f t="array" aca="1" ref="B12" ca="1">IF(OR(A12="",$B$3=0),0,
IF(AND(OR($B$2="ASGNLB1",$B$2="ASGNLB2"),$B$3&gt;30,$A12&gt;49),0,
IF(AND(照護有術顯示判斷=2,'試算表(16歲-65歲)'!A12&gt;=20,'試算表(16歲-65歲)'!A12&lt;=29),0,
VLOOKUP("P"&amp;REPT("0",2-LEN(商品年期))&amp;商品年期&amp;"S"&amp;"1"&amp;"A"&amp;REPT("0",2-LEN(A12))&amp;A12,INDIRECT(主約費率表),6,FALSE)*$B$3)))</f>
        <v>18350</v>
      </c>
      <c r="C12" s="150">
        <f t="shared" si="0"/>
        <v>0</v>
      </c>
      <c r="D12" s="150">
        <f t="shared" si="1"/>
        <v>0</v>
      </c>
      <c r="E12" s="150">
        <f t="shared" si="2"/>
        <v>0</v>
      </c>
      <c r="F12" s="150">
        <f t="shared" si="3"/>
        <v>0</v>
      </c>
      <c r="G12" s="151">
        <f t="shared" si="4"/>
        <v>0</v>
      </c>
      <c r="H12" s="151" cm="1">
        <f t="array" ref="H12">IF(OR(A12="",$H$3=0),0,IF(ISERROR($H$3),0,ROUND(INDEX(MT_NP,1,職業等級)+(MAX(0,MT保額-3)*INDEX(MT_NP,2,職業等級)),0)))</f>
        <v>0</v>
      </c>
      <c r="I12" s="150">
        <f t="shared" si="5"/>
        <v>0</v>
      </c>
      <c r="J12" s="150">
        <f t="shared" si="6"/>
        <v>0</v>
      </c>
      <c r="K12" s="150">
        <f t="shared" si="7"/>
        <v>0</v>
      </c>
      <c r="L12" s="150"/>
      <c r="M12" s="150"/>
      <c r="N12" s="152"/>
      <c r="O12" s="146">
        <f ca="1">IF(OR(A12="",$O$3=0),0,
IF(AND(OR($O$2="ASGNLB1",$O$2="ASGNLB2"),$O$3&gt;30,$A12&gt;49),0,
IF(AND(照護有術顯示判斷=2,'試算表(16歲-65歲)'!A12&gt;=20,'試算表(16歲-65歲)'!A12&lt;=29),0,
VLOOKUP("P"&amp;REPT("0",2-LEN(商品年期))&amp;商品年期&amp;"S"&amp;"2"&amp;"A"&amp;REPT("0",2-LEN(A12))&amp;A12,INDIRECT(主約費率表),6,FALSE)*$O$3)))</f>
        <v>17480</v>
      </c>
      <c r="P12" s="146">
        <f t="shared" si="8"/>
        <v>0</v>
      </c>
      <c r="Q12" s="146">
        <f t="shared" si="9"/>
        <v>0</v>
      </c>
      <c r="R12" s="146">
        <f t="shared" si="10"/>
        <v>0</v>
      </c>
      <c r="S12" s="146">
        <f t="shared" si="11"/>
        <v>0</v>
      </c>
      <c r="T12" s="146">
        <f t="shared" si="12"/>
        <v>0</v>
      </c>
      <c r="U12" s="146" cm="1">
        <f t="array" ref="U12">IF(OR(A12="",$U$3=0),0,IF(ISERROR($U$3),0,ROUND(INDEX(MT_NP,1,職業等級)+(MAX(0,MT保額-3)*INDEX(MT_NP,2,職業等級)),0)))</f>
        <v>0</v>
      </c>
      <c r="V12" s="146">
        <f t="shared" si="13"/>
        <v>0</v>
      </c>
      <c r="W12" s="146">
        <f t="shared" si="14"/>
        <v>0</v>
      </c>
      <c r="X12" s="146">
        <f t="shared" si="15"/>
        <v>0</v>
      </c>
      <c r="Y12" s="146"/>
      <c r="Z12" s="146"/>
      <c r="AA12" s="153"/>
    </row>
    <row r="13" spans="1:27">
      <c r="A13" s="149">
        <f t="shared" si="16"/>
        <v>25</v>
      </c>
      <c r="B13" s="150" cm="1">
        <f t="array" aca="1" ref="B13" ca="1">IF(OR(A13="",$B$3=0),0,
IF(AND(OR($B$2="ASGNLB1",$B$2="ASGNLB2"),$B$3&gt;30,$A13&gt;49),0,
IF(AND(照護有術顯示判斷=2,'試算表(16歲-65歲)'!A13&gt;=20,'試算表(16歲-65歲)'!A13&lt;=29),0,
VLOOKUP("P"&amp;REPT("0",2-LEN(商品年期))&amp;商品年期&amp;"S"&amp;"1"&amp;"A"&amp;REPT("0",2-LEN(A13))&amp;A13,INDIRECT(主約費率表),6,FALSE)*$B$3)))</f>
        <v>18620</v>
      </c>
      <c r="C13" s="150">
        <f t="shared" si="0"/>
        <v>0</v>
      </c>
      <c r="D13" s="150">
        <f t="shared" si="1"/>
        <v>0</v>
      </c>
      <c r="E13" s="150">
        <f t="shared" si="2"/>
        <v>0</v>
      </c>
      <c r="F13" s="150">
        <f t="shared" si="3"/>
        <v>0</v>
      </c>
      <c r="G13" s="151">
        <f t="shared" si="4"/>
        <v>0</v>
      </c>
      <c r="H13" s="151" cm="1">
        <f t="array" ref="H13">IF(OR(A13="",$H$3=0),0,IF(ISERROR($H$3),0,ROUND(INDEX(MT_NP,1,職業等級)+(MAX(0,MT保額-3)*INDEX(MT_NP,2,職業等級)),0)))</f>
        <v>0</v>
      </c>
      <c r="I13" s="150">
        <f t="shared" si="5"/>
        <v>0</v>
      </c>
      <c r="J13" s="150">
        <f t="shared" si="6"/>
        <v>0</v>
      </c>
      <c r="K13" s="150">
        <f t="shared" si="7"/>
        <v>0</v>
      </c>
      <c r="L13" s="150"/>
      <c r="M13" s="150"/>
      <c r="N13" s="152"/>
      <c r="O13" s="146">
        <f ca="1">IF(OR(A13="",$O$3=0),0,
IF(AND(OR($O$2="ASGNLB1",$O$2="ASGNLB2"),$O$3&gt;30,$A13&gt;49),0,
IF(AND(照護有術顯示判斷=2,'試算表(16歲-65歲)'!A13&gt;=20,'試算表(16歲-65歲)'!A13&lt;=29),0,
VLOOKUP("P"&amp;REPT("0",2-LEN(商品年期))&amp;商品年期&amp;"S"&amp;"2"&amp;"A"&amp;REPT("0",2-LEN(A13))&amp;A13,INDIRECT(主約費率表),6,FALSE)*$O$3)))</f>
        <v>17670</v>
      </c>
      <c r="P13" s="146">
        <f t="shared" si="8"/>
        <v>0</v>
      </c>
      <c r="Q13" s="146">
        <f t="shared" si="9"/>
        <v>0</v>
      </c>
      <c r="R13" s="146">
        <f t="shared" si="10"/>
        <v>0</v>
      </c>
      <c r="S13" s="146">
        <f t="shared" si="11"/>
        <v>0</v>
      </c>
      <c r="T13" s="146">
        <f t="shared" si="12"/>
        <v>0</v>
      </c>
      <c r="U13" s="146" cm="1">
        <f t="array" ref="U13">IF(OR(A13="",$U$3=0),0,IF(ISERROR($U$3),0,ROUND(INDEX(MT_NP,1,職業等級)+(MAX(0,MT保額-3)*INDEX(MT_NP,2,職業等級)),0)))</f>
        <v>0</v>
      </c>
      <c r="V13" s="146">
        <f t="shared" si="13"/>
        <v>0</v>
      </c>
      <c r="W13" s="146">
        <f t="shared" si="14"/>
        <v>0</v>
      </c>
      <c r="X13" s="146">
        <f t="shared" si="15"/>
        <v>0</v>
      </c>
      <c r="Y13" s="146"/>
      <c r="Z13" s="146"/>
      <c r="AA13" s="153"/>
    </row>
    <row r="14" spans="1:27">
      <c r="A14" s="149">
        <f t="shared" si="16"/>
        <v>26</v>
      </c>
      <c r="B14" s="150" cm="1">
        <f t="array" aca="1" ref="B14" ca="1">IF(OR(A14="",$B$3=0),0,
IF(AND(OR($B$2="ASGNLB1",$B$2="ASGNLB2"),$B$3&gt;30,$A14&gt;49),0,
IF(AND(照護有術顯示判斷=2,'試算表(16歲-65歲)'!A14&gt;=20,'試算表(16歲-65歲)'!A14&lt;=29),0,
VLOOKUP("P"&amp;REPT("0",2-LEN(商品年期))&amp;商品年期&amp;"S"&amp;"1"&amp;"A"&amp;REPT("0",2-LEN(A14))&amp;A14,INDIRECT(主約費率表),6,FALSE)*$B$3)))</f>
        <v>18930</v>
      </c>
      <c r="C14" s="150">
        <f t="shared" si="0"/>
        <v>0</v>
      </c>
      <c r="D14" s="150">
        <f t="shared" si="1"/>
        <v>0</v>
      </c>
      <c r="E14" s="150">
        <f t="shared" si="2"/>
        <v>0</v>
      </c>
      <c r="F14" s="150">
        <f t="shared" si="3"/>
        <v>0</v>
      </c>
      <c r="G14" s="151">
        <f t="shared" si="4"/>
        <v>0</v>
      </c>
      <c r="H14" s="151" cm="1">
        <f t="array" ref="H14">IF(OR(A14="",$H$3=0),0,IF(ISERROR($H$3),0,ROUND(INDEX(MT_NP,1,職業等級)+(MAX(0,MT保額-3)*INDEX(MT_NP,2,職業等級)),0)))</f>
        <v>0</v>
      </c>
      <c r="I14" s="150">
        <f t="shared" si="5"/>
        <v>0</v>
      </c>
      <c r="J14" s="150">
        <f t="shared" si="6"/>
        <v>0</v>
      </c>
      <c r="K14" s="150">
        <f t="shared" si="7"/>
        <v>0</v>
      </c>
      <c r="L14" s="150"/>
      <c r="M14" s="150"/>
      <c r="N14" s="152"/>
      <c r="O14" s="146">
        <f ca="1">IF(OR(A14="",$O$3=0),0,
IF(AND(OR($O$2="ASGNLB1",$O$2="ASGNLB2"),$O$3&gt;30,$A14&gt;49),0,
IF(AND(照護有術顯示判斷=2,'試算表(16歲-65歲)'!A14&gt;=20,'試算表(16歲-65歲)'!A14&lt;=29),0,
VLOOKUP("P"&amp;REPT("0",2-LEN(商品年期))&amp;商品年期&amp;"S"&amp;"2"&amp;"A"&amp;REPT("0",2-LEN(A14))&amp;A14,INDIRECT(主約費率表),6,FALSE)*$O$3)))</f>
        <v>17860</v>
      </c>
      <c r="P14" s="146">
        <f t="shared" si="8"/>
        <v>0</v>
      </c>
      <c r="Q14" s="146">
        <f t="shared" si="9"/>
        <v>0</v>
      </c>
      <c r="R14" s="146">
        <f t="shared" si="10"/>
        <v>0</v>
      </c>
      <c r="S14" s="146">
        <f t="shared" si="11"/>
        <v>0</v>
      </c>
      <c r="T14" s="146">
        <f t="shared" si="12"/>
        <v>0</v>
      </c>
      <c r="U14" s="146" cm="1">
        <f t="array" ref="U14">IF(OR(A14="",$U$3=0),0,IF(ISERROR($U$3),0,ROUND(INDEX(MT_NP,1,職業等級)+(MAX(0,MT保額-3)*INDEX(MT_NP,2,職業等級)),0)))</f>
        <v>0</v>
      </c>
      <c r="V14" s="146">
        <f t="shared" si="13"/>
        <v>0</v>
      </c>
      <c r="W14" s="146">
        <f t="shared" si="14"/>
        <v>0</v>
      </c>
      <c r="X14" s="146">
        <f t="shared" si="15"/>
        <v>0</v>
      </c>
      <c r="Y14" s="146"/>
      <c r="Z14" s="146"/>
      <c r="AA14" s="153"/>
    </row>
    <row r="15" spans="1:27">
      <c r="A15" s="149">
        <f t="shared" si="16"/>
        <v>27</v>
      </c>
      <c r="B15" s="150" cm="1">
        <f t="array" aca="1" ref="B15" ca="1">IF(OR(A15="",$B$3=0),0,
IF(AND(OR($B$2="ASGNLB1",$B$2="ASGNLB2"),$B$3&gt;30,$A15&gt;49),0,
IF(AND(照護有術顯示判斷=2,'試算表(16歲-65歲)'!A15&gt;=20,'試算表(16歲-65歲)'!A15&lt;=29),0,
VLOOKUP("P"&amp;REPT("0",2-LEN(商品年期))&amp;商品年期&amp;"S"&amp;"1"&amp;"A"&amp;REPT("0",2-LEN(A15))&amp;A15,INDIRECT(主約費率表),6,FALSE)*$B$3)))</f>
        <v>19230</v>
      </c>
      <c r="C15" s="150">
        <f t="shared" si="0"/>
        <v>0</v>
      </c>
      <c r="D15" s="150">
        <f t="shared" si="1"/>
        <v>0</v>
      </c>
      <c r="E15" s="150">
        <f t="shared" si="2"/>
        <v>0</v>
      </c>
      <c r="F15" s="150">
        <f t="shared" si="3"/>
        <v>0</v>
      </c>
      <c r="G15" s="151">
        <f t="shared" si="4"/>
        <v>0</v>
      </c>
      <c r="H15" s="151" cm="1">
        <f t="array" ref="H15">IF(OR(A15="",$H$3=0),0,IF(ISERROR($H$3),0,ROUND(INDEX(MT_NP,1,職業等級)+(MAX(0,MT保額-3)*INDEX(MT_NP,2,職業等級)),0)))</f>
        <v>0</v>
      </c>
      <c r="I15" s="150">
        <f t="shared" si="5"/>
        <v>0</v>
      </c>
      <c r="J15" s="150">
        <f t="shared" si="6"/>
        <v>0</v>
      </c>
      <c r="K15" s="150">
        <f t="shared" si="7"/>
        <v>0</v>
      </c>
      <c r="L15" s="150"/>
      <c r="M15" s="150"/>
      <c r="N15" s="152"/>
      <c r="O15" s="146">
        <f ca="1">IF(OR(A15="",$O$3=0),0,
IF(AND(OR($O$2="ASGNLB1",$O$2="ASGNLB2"),$O$3&gt;30,$A15&gt;49),0,
IF(AND(照護有術顯示判斷=2,'試算表(16歲-65歲)'!A15&gt;=20,'試算表(16歲-65歲)'!A15&lt;=29),0,
VLOOKUP("P"&amp;REPT("0",2-LEN(商品年期))&amp;商品年期&amp;"S"&amp;"2"&amp;"A"&amp;REPT("0",2-LEN(A15))&amp;A15,INDIRECT(主約費率表),6,FALSE)*$O$3)))</f>
        <v>18040</v>
      </c>
      <c r="P15" s="146">
        <f t="shared" si="8"/>
        <v>0</v>
      </c>
      <c r="Q15" s="146">
        <f t="shared" si="9"/>
        <v>0</v>
      </c>
      <c r="R15" s="146">
        <f t="shared" si="10"/>
        <v>0</v>
      </c>
      <c r="S15" s="146">
        <f t="shared" si="11"/>
        <v>0</v>
      </c>
      <c r="T15" s="146">
        <f t="shared" si="12"/>
        <v>0</v>
      </c>
      <c r="U15" s="146" cm="1">
        <f t="array" ref="U15">IF(OR(A15="",$U$3=0),0,IF(ISERROR($U$3),0,ROUND(INDEX(MT_NP,1,職業等級)+(MAX(0,MT保額-3)*INDEX(MT_NP,2,職業等級)),0)))</f>
        <v>0</v>
      </c>
      <c r="V15" s="146">
        <f t="shared" si="13"/>
        <v>0</v>
      </c>
      <c r="W15" s="146">
        <f t="shared" si="14"/>
        <v>0</v>
      </c>
      <c r="X15" s="146">
        <f t="shared" si="15"/>
        <v>0</v>
      </c>
      <c r="Y15" s="146"/>
      <c r="Z15" s="146"/>
      <c r="AA15" s="153"/>
    </row>
    <row r="16" spans="1:27">
      <c r="A16" s="149">
        <f t="shared" si="16"/>
        <v>28</v>
      </c>
      <c r="B16" s="150" cm="1">
        <f t="array" aca="1" ref="B16" ca="1">IF(OR(A16="",$B$3=0),0,
IF(AND(OR($B$2="ASGNLB1",$B$2="ASGNLB2"),$B$3&gt;30,$A16&gt;49),0,
IF(AND(照護有術顯示判斷=2,'試算表(16歲-65歲)'!A16&gt;=20,'試算表(16歲-65歲)'!A16&lt;=29),0,
VLOOKUP("P"&amp;REPT("0",2-LEN(商品年期))&amp;商品年期&amp;"S"&amp;"1"&amp;"A"&amp;REPT("0",2-LEN(A16))&amp;A16,INDIRECT(主約費率表),6,FALSE)*$B$3)))</f>
        <v>19540</v>
      </c>
      <c r="C16" s="150">
        <f t="shared" si="0"/>
        <v>0</v>
      </c>
      <c r="D16" s="150">
        <f t="shared" si="1"/>
        <v>0</v>
      </c>
      <c r="E16" s="150">
        <f t="shared" si="2"/>
        <v>0</v>
      </c>
      <c r="F16" s="150">
        <f t="shared" si="3"/>
        <v>0</v>
      </c>
      <c r="G16" s="151">
        <f t="shared" si="4"/>
        <v>0</v>
      </c>
      <c r="H16" s="151" cm="1">
        <f t="array" ref="H16">IF(OR(A16="",$H$3=0),0,IF(ISERROR($H$3),0,ROUND(INDEX(MT_NP,1,職業等級)+(MAX(0,MT保額-3)*INDEX(MT_NP,2,職業等級)),0)))</f>
        <v>0</v>
      </c>
      <c r="I16" s="150">
        <f t="shared" si="5"/>
        <v>0</v>
      </c>
      <c r="J16" s="150">
        <f t="shared" si="6"/>
        <v>0</v>
      </c>
      <c r="K16" s="150">
        <f t="shared" si="7"/>
        <v>0</v>
      </c>
      <c r="L16" s="150"/>
      <c r="M16" s="150"/>
      <c r="N16" s="152"/>
      <c r="O16" s="146">
        <f ca="1">IF(OR(A16="",$O$3=0),0,
IF(AND(OR($O$2="ASGNLB1",$O$2="ASGNLB2"),$O$3&gt;30,$A16&gt;49),0,
IF(AND(照護有術顯示判斷=2,'試算表(16歲-65歲)'!A16&gt;=20,'試算表(16歲-65歲)'!A16&lt;=29),0,
VLOOKUP("P"&amp;REPT("0",2-LEN(商品年期))&amp;商品年期&amp;"S"&amp;"2"&amp;"A"&amp;REPT("0",2-LEN(A16))&amp;A16,INDIRECT(主約費率表),6,FALSE)*$O$3)))</f>
        <v>18180</v>
      </c>
      <c r="P16" s="146">
        <f t="shared" si="8"/>
        <v>0</v>
      </c>
      <c r="Q16" s="146">
        <f t="shared" si="9"/>
        <v>0</v>
      </c>
      <c r="R16" s="146">
        <f t="shared" si="10"/>
        <v>0</v>
      </c>
      <c r="S16" s="146">
        <f t="shared" si="11"/>
        <v>0</v>
      </c>
      <c r="T16" s="146">
        <f t="shared" si="12"/>
        <v>0</v>
      </c>
      <c r="U16" s="146" cm="1">
        <f t="array" ref="U16">IF(OR(A16="",$U$3=0),0,IF(ISERROR($U$3),0,ROUND(INDEX(MT_NP,1,職業等級)+(MAX(0,MT保額-3)*INDEX(MT_NP,2,職業等級)),0)))</f>
        <v>0</v>
      </c>
      <c r="V16" s="146">
        <f t="shared" si="13"/>
        <v>0</v>
      </c>
      <c r="W16" s="146">
        <f t="shared" si="14"/>
        <v>0</v>
      </c>
      <c r="X16" s="146">
        <f t="shared" si="15"/>
        <v>0</v>
      </c>
      <c r="Y16" s="146"/>
      <c r="Z16" s="146"/>
      <c r="AA16" s="153"/>
    </row>
    <row r="17" spans="1:27">
      <c r="A17" s="149">
        <f t="shared" si="16"/>
        <v>29</v>
      </c>
      <c r="B17" s="150" cm="1">
        <f t="array" aca="1" ref="B17" ca="1">IF(OR(A17="",$B$3=0),0,
IF(AND(OR($B$2="ASGNLB1",$B$2="ASGNLB2"),$B$3&gt;30,$A17&gt;49),0,
IF(AND(照護有術顯示判斷=2,'試算表(16歲-65歲)'!A17&gt;=20,'試算表(16歲-65歲)'!A17&lt;=29),0,
VLOOKUP("P"&amp;REPT("0",2-LEN(商品年期))&amp;商品年期&amp;"S"&amp;"1"&amp;"A"&amp;REPT("0",2-LEN(A17))&amp;A17,INDIRECT(主約費率表),6,FALSE)*$B$3)))</f>
        <v>19850</v>
      </c>
      <c r="C17" s="150">
        <f t="shared" si="0"/>
        <v>0</v>
      </c>
      <c r="D17" s="150">
        <f t="shared" si="1"/>
        <v>0</v>
      </c>
      <c r="E17" s="150">
        <f t="shared" si="2"/>
        <v>0</v>
      </c>
      <c r="F17" s="150">
        <f t="shared" si="3"/>
        <v>0</v>
      </c>
      <c r="G17" s="151">
        <f t="shared" si="4"/>
        <v>0</v>
      </c>
      <c r="H17" s="151" cm="1">
        <f t="array" ref="H17">IF(OR(A17="",$H$3=0),0,IF(ISERROR($H$3),0,ROUND(INDEX(MT_NP,1,職業等級)+(MAX(0,MT保額-3)*INDEX(MT_NP,2,職業等級)),0)))</f>
        <v>0</v>
      </c>
      <c r="I17" s="150">
        <f t="shared" si="5"/>
        <v>0</v>
      </c>
      <c r="J17" s="150">
        <f t="shared" si="6"/>
        <v>0</v>
      </c>
      <c r="K17" s="150">
        <f t="shared" si="7"/>
        <v>0</v>
      </c>
      <c r="L17" s="150"/>
      <c r="M17" s="150"/>
      <c r="N17" s="152"/>
      <c r="O17" s="146">
        <f ca="1">IF(OR(A17="",$O$3=0),0,
IF(AND(OR($O$2="ASGNLB1",$O$2="ASGNLB2"),$O$3&gt;30,$A17&gt;49),0,
IF(AND(照護有術顯示判斷=2,'試算表(16歲-65歲)'!A17&gt;=20,'試算表(16歲-65歲)'!A17&lt;=29),0,
VLOOKUP("P"&amp;REPT("0",2-LEN(商品年期))&amp;商品年期&amp;"S"&amp;"2"&amp;"A"&amp;REPT("0",2-LEN(A17))&amp;A17,INDIRECT(主約費率表),6,FALSE)*$O$3)))</f>
        <v>18320</v>
      </c>
      <c r="P17" s="146">
        <f t="shared" si="8"/>
        <v>0</v>
      </c>
      <c r="Q17" s="146">
        <f t="shared" si="9"/>
        <v>0</v>
      </c>
      <c r="R17" s="146">
        <f t="shared" si="10"/>
        <v>0</v>
      </c>
      <c r="S17" s="146">
        <f t="shared" si="11"/>
        <v>0</v>
      </c>
      <c r="T17" s="146">
        <f t="shared" si="12"/>
        <v>0</v>
      </c>
      <c r="U17" s="146" cm="1">
        <f t="array" ref="U17">IF(OR(A17="",$U$3=0),0,IF(ISERROR($U$3),0,ROUND(INDEX(MT_NP,1,職業等級)+(MAX(0,MT保額-3)*INDEX(MT_NP,2,職業等級)),0)))</f>
        <v>0</v>
      </c>
      <c r="V17" s="146">
        <f t="shared" si="13"/>
        <v>0</v>
      </c>
      <c r="W17" s="146">
        <f t="shared" si="14"/>
        <v>0</v>
      </c>
      <c r="X17" s="146">
        <f t="shared" si="15"/>
        <v>0</v>
      </c>
      <c r="Y17" s="146"/>
      <c r="Z17" s="146"/>
      <c r="AA17" s="153"/>
    </row>
    <row r="18" spans="1:27">
      <c r="A18" s="149">
        <f t="shared" si="16"/>
        <v>30</v>
      </c>
      <c r="B18" s="150" cm="1">
        <f t="array" aca="1" ref="B18" ca="1">IF(OR(A18="",$B$3=0),0,
IF(AND(OR($B$2="ASGNLB1",$B$2="ASGNLB2"),$B$3&gt;30,$A18&gt;49),0,
IF(AND(照護有術顯示判斷=2,'試算表(16歲-65歲)'!A18&gt;=20,'試算表(16歲-65歲)'!A18&lt;=29),0,
VLOOKUP("P"&amp;REPT("0",2-LEN(商品年期))&amp;商品年期&amp;"S"&amp;"1"&amp;"A"&amp;REPT("0",2-LEN(A18))&amp;A18,INDIRECT(主約費率表),6,FALSE)*$B$3)))</f>
        <v>20160</v>
      </c>
      <c r="C18" s="150">
        <f t="shared" si="0"/>
        <v>0</v>
      </c>
      <c r="D18" s="150">
        <f t="shared" si="1"/>
        <v>0</v>
      </c>
      <c r="E18" s="150">
        <f t="shared" si="2"/>
        <v>0</v>
      </c>
      <c r="F18" s="150">
        <f t="shared" si="3"/>
        <v>0</v>
      </c>
      <c r="G18" s="151">
        <f t="shared" si="4"/>
        <v>0</v>
      </c>
      <c r="H18" s="151" cm="1">
        <f t="array" ref="H18">IF(OR(A18="",$H$3=0),0,IF(ISERROR($H$3),0,ROUND(INDEX(MT_NP,1,職業等級)+(MAX(0,MT保額-3)*INDEX(MT_NP,2,職業等級)),0)))</f>
        <v>0</v>
      </c>
      <c r="I18" s="150">
        <f t="shared" si="5"/>
        <v>0</v>
      </c>
      <c r="J18" s="150">
        <f t="shared" si="6"/>
        <v>0</v>
      </c>
      <c r="K18" s="150">
        <f t="shared" si="7"/>
        <v>0</v>
      </c>
      <c r="L18" s="150"/>
      <c r="M18" s="150"/>
      <c r="N18" s="152"/>
      <c r="O18" s="146">
        <f ca="1">IF(OR(A18="",$O$3=0),0,
IF(AND(OR($O$2="ASGNLB1",$O$2="ASGNLB2"),$O$3&gt;30,$A18&gt;49),0,
IF(AND(照護有術顯示判斷=2,'試算表(16歲-65歲)'!A18&gt;=20,'試算表(16歲-65歲)'!A18&lt;=29),0,
VLOOKUP("P"&amp;REPT("0",2-LEN(商品年期))&amp;商品年期&amp;"S"&amp;"2"&amp;"A"&amp;REPT("0",2-LEN(A18))&amp;A18,INDIRECT(主約費率表),6,FALSE)*$O$3)))</f>
        <v>18440</v>
      </c>
      <c r="P18" s="146">
        <f t="shared" si="8"/>
        <v>0</v>
      </c>
      <c r="Q18" s="146">
        <f t="shared" si="9"/>
        <v>0</v>
      </c>
      <c r="R18" s="146">
        <f t="shared" si="10"/>
        <v>0</v>
      </c>
      <c r="S18" s="146">
        <f t="shared" si="11"/>
        <v>0</v>
      </c>
      <c r="T18" s="146">
        <f t="shared" si="12"/>
        <v>0</v>
      </c>
      <c r="U18" s="146" cm="1">
        <f t="array" ref="U18">IF(OR(A18="",$U$3=0),0,IF(ISERROR($U$3),0,ROUND(INDEX(MT_NP,1,職業等級)+(MAX(0,MT保額-3)*INDEX(MT_NP,2,職業等級)),0)))</f>
        <v>0</v>
      </c>
      <c r="V18" s="146">
        <f t="shared" si="13"/>
        <v>0</v>
      </c>
      <c r="W18" s="146">
        <f t="shared" si="14"/>
        <v>0</v>
      </c>
      <c r="X18" s="146">
        <f t="shared" si="15"/>
        <v>0</v>
      </c>
      <c r="Y18" s="146"/>
      <c r="Z18" s="146"/>
      <c r="AA18" s="153"/>
    </row>
    <row r="19" spans="1:27">
      <c r="A19" s="149">
        <f t="shared" si="16"/>
        <v>31</v>
      </c>
      <c r="B19" s="150" cm="1">
        <f t="array" aca="1" ref="B19" ca="1">IF(OR(A19="",$B$3=0),0,
IF(AND(OR($B$2="ASGNLB1",$B$2="ASGNLB2"),$B$3&gt;30,$A19&gt;49),0,
IF(AND(照護有術顯示判斷=2,'試算表(16歲-65歲)'!A19&gt;=20,'試算表(16歲-65歲)'!A19&lt;=29),0,
VLOOKUP("P"&amp;REPT("0",2-LEN(商品年期))&amp;商品年期&amp;"S"&amp;"1"&amp;"A"&amp;REPT("0",2-LEN(A19))&amp;A19,INDIRECT(主約費率表),6,FALSE)*$B$3)))</f>
        <v>20570</v>
      </c>
      <c r="C19" s="150">
        <f t="shared" si="0"/>
        <v>0</v>
      </c>
      <c r="D19" s="150">
        <f t="shared" si="1"/>
        <v>0</v>
      </c>
      <c r="E19" s="150">
        <f t="shared" si="2"/>
        <v>0</v>
      </c>
      <c r="F19" s="150">
        <f t="shared" si="3"/>
        <v>0</v>
      </c>
      <c r="G19" s="151">
        <f t="shared" si="4"/>
        <v>0</v>
      </c>
      <c r="H19" s="151" cm="1">
        <f t="array" ref="H19">IF(OR(A19="",$H$3=0),0,IF(ISERROR($H$3),0,ROUND(INDEX(MT_NP,1,職業等級)+(MAX(0,MT保額-3)*INDEX(MT_NP,2,職業等級)),0)))</f>
        <v>0</v>
      </c>
      <c r="I19" s="150">
        <f t="shared" si="5"/>
        <v>0</v>
      </c>
      <c r="J19" s="150">
        <f t="shared" si="6"/>
        <v>0</v>
      </c>
      <c r="K19" s="150">
        <f t="shared" si="7"/>
        <v>0</v>
      </c>
      <c r="L19" s="150"/>
      <c r="M19" s="150"/>
      <c r="N19" s="152"/>
      <c r="O19" s="146">
        <f ca="1">IF(OR(A19="",$O$3=0),0,
IF(AND(OR($O$2="ASGNLB1",$O$2="ASGNLB2"),$O$3&gt;30,$A19&gt;49),0,
IF(AND(照護有術顯示判斷=2,'試算表(16歲-65歲)'!A19&gt;=20,'試算表(16歲-65歲)'!A19&lt;=29),0,
VLOOKUP("P"&amp;REPT("0",2-LEN(商品年期))&amp;商品年期&amp;"S"&amp;"2"&amp;"A"&amp;REPT("0",2-LEN(A19))&amp;A19,INDIRECT(主約費率表),6,FALSE)*$O$3)))</f>
        <v>18720</v>
      </c>
      <c r="P19" s="146">
        <f t="shared" si="8"/>
        <v>0</v>
      </c>
      <c r="Q19" s="146">
        <f t="shared" si="9"/>
        <v>0</v>
      </c>
      <c r="R19" s="146">
        <f t="shared" si="10"/>
        <v>0</v>
      </c>
      <c r="S19" s="146">
        <f t="shared" si="11"/>
        <v>0</v>
      </c>
      <c r="T19" s="146">
        <f t="shared" si="12"/>
        <v>0</v>
      </c>
      <c r="U19" s="146" cm="1">
        <f t="array" ref="U19">IF(OR(A19="",$U$3=0),0,IF(ISERROR($U$3),0,ROUND(INDEX(MT_NP,1,職業等級)+(MAX(0,MT保額-3)*INDEX(MT_NP,2,職業等級)),0)))</f>
        <v>0</v>
      </c>
      <c r="V19" s="146">
        <f t="shared" si="13"/>
        <v>0</v>
      </c>
      <c r="W19" s="146">
        <f t="shared" si="14"/>
        <v>0</v>
      </c>
      <c r="X19" s="146">
        <f t="shared" si="15"/>
        <v>0</v>
      </c>
      <c r="Y19" s="146"/>
      <c r="Z19" s="146"/>
      <c r="AA19" s="153"/>
    </row>
    <row r="20" spans="1:27">
      <c r="A20" s="149">
        <f t="shared" si="16"/>
        <v>32</v>
      </c>
      <c r="B20" s="150" cm="1">
        <f t="array" aca="1" ref="B20" ca="1">IF(OR(A20="",$B$3=0),0,
IF(AND(OR($B$2="ASGNLB1",$B$2="ASGNLB2"),$B$3&gt;30,$A20&gt;49),0,
IF(AND(照護有術顯示判斷=2,'試算表(16歲-65歲)'!A20&gt;=20,'試算表(16歲-65歲)'!A20&lt;=29),0,
VLOOKUP("P"&amp;REPT("0",2-LEN(商品年期))&amp;商品年期&amp;"S"&amp;"1"&amp;"A"&amp;REPT("0",2-LEN(A20))&amp;A20,INDIRECT(主約費率表),6,FALSE)*$B$3)))</f>
        <v>20980</v>
      </c>
      <c r="C20" s="150">
        <f t="shared" si="0"/>
        <v>0</v>
      </c>
      <c r="D20" s="150">
        <f t="shared" si="1"/>
        <v>0</v>
      </c>
      <c r="E20" s="150">
        <f t="shared" si="2"/>
        <v>0</v>
      </c>
      <c r="F20" s="150">
        <f t="shared" si="3"/>
        <v>0</v>
      </c>
      <c r="G20" s="151">
        <f t="shared" si="4"/>
        <v>0</v>
      </c>
      <c r="H20" s="151" cm="1">
        <f t="array" ref="H20">IF(OR(A20="",$H$3=0),0,IF(ISERROR($H$3),0,ROUND(INDEX(MT_NP,1,職業等級)+(MAX(0,MT保額-3)*INDEX(MT_NP,2,職業等級)),0)))</f>
        <v>0</v>
      </c>
      <c r="I20" s="150">
        <f t="shared" si="5"/>
        <v>0</v>
      </c>
      <c r="J20" s="150">
        <f t="shared" si="6"/>
        <v>0</v>
      </c>
      <c r="K20" s="150">
        <f t="shared" si="7"/>
        <v>0</v>
      </c>
      <c r="L20" s="150"/>
      <c r="M20" s="150"/>
      <c r="N20" s="152"/>
      <c r="O20" s="146">
        <f ca="1">IF(OR(A20="",$O$3=0),0,
IF(AND(OR($O$2="ASGNLB1",$O$2="ASGNLB2"),$O$3&gt;30,$A20&gt;49),0,
IF(AND(照護有術顯示判斷=2,'試算表(16歲-65歲)'!A20&gt;=20,'試算表(16歲-65歲)'!A20&lt;=29),0,
VLOOKUP("P"&amp;REPT("0",2-LEN(商品年期))&amp;商品年期&amp;"S"&amp;"2"&amp;"A"&amp;REPT("0",2-LEN(A20))&amp;A20,INDIRECT(主約費率表),6,FALSE)*$O$3)))</f>
        <v>19000</v>
      </c>
      <c r="P20" s="146">
        <f t="shared" si="8"/>
        <v>0</v>
      </c>
      <c r="Q20" s="146">
        <f t="shared" si="9"/>
        <v>0</v>
      </c>
      <c r="R20" s="146">
        <f t="shared" si="10"/>
        <v>0</v>
      </c>
      <c r="S20" s="146">
        <f t="shared" si="11"/>
        <v>0</v>
      </c>
      <c r="T20" s="146">
        <f t="shared" si="12"/>
        <v>0</v>
      </c>
      <c r="U20" s="146" cm="1">
        <f t="array" ref="U20">IF(OR(A20="",$U$3=0),0,IF(ISERROR($U$3),0,ROUND(INDEX(MT_NP,1,職業等級)+(MAX(0,MT保額-3)*INDEX(MT_NP,2,職業等級)),0)))</f>
        <v>0</v>
      </c>
      <c r="V20" s="146">
        <f t="shared" si="13"/>
        <v>0</v>
      </c>
      <c r="W20" s="146">
        <f t="shared" si="14"/>
        <v>0</v>
      </c>
      <c r="X20" s="146">
        <f t="shared" si="15"/>
        <v>0</v>
      </c>
      <c r="Y20" s="146"/>
      <c r="Z20" s="146"/>
      <c r="AA20" s="153"/>
    </row>
    <row r="21" spans="1:27">
      <c r="A21" s="149">
        <f t="shared" si="16"/>
        <v>33</v>
      </c>
      <c r="B21" s="150" cm="1">
        <f t="array" aca="1" ref="B21" ca="1">IF(OR(A21="",$B$3=0),0,
IF(AND(OR($B$2="ASGNLB1",$B$2="ASGNLB2"),$B$3&gt;30,$A21&gt;49),0,
IF(AND(照護有術顯示判斷=2,'試算表(16歲-65歲)'!A21&gt;=20,'試算表(16歲-65歲)'!A21&lt;=29),0,
VLOOKUP("P"&amp;REPT("0",2-LEN(商品年期))&amp;商品年期&amp;"S"&amp;"1"&amp;"A"&amp;REPT("0",2-LEN(A21))&amp;A21,INDIRECT(主約費率表),6,FALSE)*$B$3)))</f>
        <v>21430</v>
      </c>
      <c r="C21" s="150">
        <f t="shared" si="0"/>
        <v>0</v>
      </c>
      <c r="D21" s="150">
        <f t="shared" si="1"/>
        <v>0</v>
      </c>
      <c r="E21" s="150">
        <f t="shared" si="2"/>
        <v>0</v>
      </c>
      <c r="F21" s="150">
        <f t="shared" si="3"/>
        <v>0</v>
      </c>
      <c r="G21" s="151">
        <f t="shared" si="4"/>
        <v>0</v>
      </c>
      <c r="H21" s="151" cm="1">
        <f t="array" ref="H21">IF(OR(A21="",$H$3=0),0,IF(ISERROR($H$3),0,ROUND(INDEX(MT_NP,1,職業等級)+(MAX(0,MT保額-3)*INDEX(MT_NP,2,職業等級)),0)))</f>
        <v>0</v>
      </c>
      <c r="I21" s="150">
        <f t="shared" si="5"/>
        <v>0</v>
      </c>
      <c r="J21" s="150">
        <f t="shared" si="6"/>
        <v>0</v>
      </c>
      <c r="K21" s="150">
        <f t="shared" si="7"/>
        <v>0</v>
      </c>
      <c r="L21" s="150"/>
      <c r="M21" s="150"/>
      <c r="N21" s="152"/>
      <c r="O21" s="146">
        <f ca="1">IF(OR(A21="",$O$3=0),0,
IF(AND(OR($O$2="ASGNLB1",$O$2="ASGNLB2"),$O$3&gt;30,$A21&gt;49),0,
IF(AND(照護有術顯示判斷=2,'試算表(16歲-65歲)'!A21&gt;=20,'試算表(16歲-65歲)'!A21&lt;=29),0,
VLOOKUP("P"&amp;REPT("0",2-LEN(商品年期))&amp;商品年期&amp;"S"&amp;"2"&amp;"A"&amp;REPT("0",2-LEN(A21))&amp;A21,INDIRECT(主約費率表),6,FALSE)*$O$3)))</f>
        <v>19290</v>
      </c>
      <c r="P21" s="146">
        <f t="shared" si="8"/>
        <v>0</v>
      </c>
      <c r="Q21" s="146">
        <f t="shared" si="9"/>
        <v>0</v>
      </c>
      <c r="R21" s="146">
        <f t="shared" si="10"/>
        <v>0</v>
      </c>
      <c r="S21" s="146">
        <f t="shared" si="11"/>
        <v>0</v>
      </c>
      <c r="T21" s="146">
        <f t="shared" si="12"/>
        <v>0</v>
      </c>
      <c r="U21" s="146" cm="1">
        <f t="array" ref="U21">IF(OR(A21="",$U$3=0),0,IF(ISERROR($U$3),0,ROUND(INDEX(MT_NP,1,職業等級)+(MAX(0,MT保額-3)*INDEX(MT_NP,2,職業等級)),0)))</f>
        <v>0</v>
      </c>
      <c r="V21" s="146">
        <f t="shared" si="13"/>
        <v>0</v>
      </c>
      <c r="W21" s="146">
        <f t="shared" si="14"/>
        <v>0</v>
      </c>
      <c r="X21" s="146">
        <f t="shared" si="15"/>
        <v>0</v>
      </c>
      <c r="Y21" s="146"/>
      <c r="Z21" s="146"/>
      <c r="AA21" s="153"/>
    </row>
    <row r="22" spans="1:27">
      <c r="A22" s="149">
        <f t="shared" si="16"/>
        <v>34</v>
      </c>
      <c r="B22" s="150" cm="1">
        <f t="array" aca="1" ref="B22" ca="1">IF(OR(A22="",$B$3=0),0,
IF(AND(OR($B$2="ASGNLB1",$B$2="ASGNLB2"),$B$3&gt;30,$A22&gt;49),0,
IF(AND(照護有術顯示判斷=2,'試算表(16歲-65歲)'!A22&gt;=20,'試算表(16歲-65歲)'!A22&lt;=29),0,
VLOOKUP("P"&amp;REPT("0",2-LEN(商品年期))&amp;商品年期&amp;"S"&amp;"1"&amp;"A"&amp;REPT("0",2-LEN(A22))&amp;A22,INDIRECT(主約費率表),6,FALSE)*$B$3)))</f>
        <v>21880</v>
      </c>
      <c r="C22" s="150">
        <f t="shared" si="0"/>
        <v>0</v>
      </c>
      <c r="D22" s="150">
        <f t="shared" si="1"/>
        <v>0</v>
      </c>
      <c r="E22" s="150">
        <f t="shared" si="2"/>
        <v>0</v>
      </c>
      <c r="F22" s="150">
        <f t="shared" si="3"/>
        <v>0</v>
      </c>
      <c r="G22" s="151">
        <f t="shared" si="4"/>
        <v>0</v>
      </c>
      <c r="H22" s="151" cm="1">
        <f t="array" ref="H22">IF(OR(A22="",$H$3=0),0,IF(ISERROR($H$3),0,ROUND(INDEX(MT_NP,1,職業等級)+(MAX(0,MT保額-3)*INDEX(MT_NP,2,職業等級)),0)))</f>
        <v>0</v>
      </c>
      <c r="I22" s="150">
        <f t="shared" si="5"/>
        <v>0</v>
      </c>
      <c r="J22" s="150">
        <f t="shared" si="6"/>
        <v>0</v>
      </c>
      <c r="K22" s="150">
        <f t="shared" si="7"/>
        <v>0</v>
      </c>
      <c r="L22" s="150"/>
      <c r="M22" s="150"/>
      <c r="N22" s="152"/>
      <c r="O22" s="146">
        <f ca="1">IF(OR(A22="",$O$3=0),0,
IF(AND(OR($O$2="ASGNLB1",$O$2="ASGNLB2"),$O$3&gt;30,$A22&gt;49),0,
IF(AND(照護有術顯示判斷=2,'試算表(16歲-65歲)'!A22&gt;=20,'試算表(16歲-65歲)'!A22&lt;=29),0,
VLOOKUP("P"&amp;REPT("0",2-LEN(商品年期))&amp;商品年期&amp;"S"&amp;"2"&amp;"A"&amp;REPT("0",2-LEN(A22))&amp;A22,INDIRECT(主約費率表),6,FALSE)*$O$3)))</f>
        <v>19610</v>
      </c>
      <c r="P22" s="146">
        <f t="shared" si="8"/>
        <v>0</v>
      </c>
      <c r="Q22" s="146">
        <f t="shared" si="9"/>
        <v>0</v>
      </c>
      <c r="R22" s="146">
        <f t="shared" si="10"/>
        <v>0</v>
      </c>
      <c r="S22" s="146">
        <f t="shared" si="11"/>
        <v>0</v>
      </c>
      <c r="T22" s="146">
        <f t="shared" si="12"/>
        <v>0</v>
      </c>
      <c r="U22" s="146" cm="1">
        <f t="array" ref="U22">IF(OR(A22="",$U$3=0),0,IF(ISERROR($U$3),0,ROUND(INDEX(MT_NP,1,職業等級)+(MAX(0,MT保額-3)*INDEX(MT_NP,2,職業等級)),0)))</f>
        <v>0</v>
      </c>
      <c r="V22" s="146">
        <f t="shared" si="13"/>
        <v>0</v>
      </c>
      <c r="W22" s="146">
        <f t="shared" si="14"/>
        <v>0</v>
      </c>
      <c r="X22" s="146">
        <f t="shared" si="15"/>
        <v>0</v>
      </c>
      <c r="Y22" s="146"/>
      <c r="Z22" s="146"/>
      <c r="AA22" s="153"/>
    </row>
    <row r="23" spans="1:27">
      <c r="A23" s="149">
        <f t="shared" si="16"/>
        <v>35</v>
      </c>
      <c r="B23" s="150" cm="1">
        <f t="array" aca="1" ref="B23" ca="1">IF(OR(A23="",$B$3=0),0,
IF(AND(OR($B$2="ASGNLB1",$B$2="ASGNLB2"),$B$3&gt;30,$A23&gt;49),0,
IF(AND(照護有術顯示判斷=2,'試算表(16歲-65歲)'!A23&gt;=20,'試算表(16歲-65歲)'!A23&lt;=29),0,
VLOOKUP("P"&amp;REPT("0",2-LEN(商品年期))&amp;商品年期&amp;"S"&amp;"1"&amp;"A"&amp;REPT("0",2-LEN(A23))&amp;A23,INDIRECT(主約費率表),6,FALSE)*$B$3)))</f>
        <v>22370</v>
      </c>
      <c r="C23" s="150">
        <f t="shared" si="0"/>
        <v>0</v>
      </c>
      <c r="D23" s="150">
        <f t="shared" si="1"/>
        <v>0</v>
      </c>
      <c r="E23" s="150">
        <f t="shared" si="2"/>
        <v>0</v>
      </c>
      <c r="F23" s="150">
        <f t="shared" si="3"/>
        <v>0</v>
      </c>
      <c r="G23" s="151">
        <f t="shared" si="4"/>
        <v>0</v>
      </c>
      <c r="H23" s="151" cm="1">
        <f t="array" ref="H23">IF(OR(A23="",$H$3=0),0,IF(ISERROR($H$3),0,ROUND(INDEX(MT_NP,1,職業等級)+(MAX(0,MT保額-3)*INDEX(MT_NP,2,職業等級)),0)))</f>
        <v>0</v>
      </c>
      <c r="I23" s="150">
        <f t="shared" si="5"/>
        <v>0</v>
      </c>
      <c r="J23" s="150">
        <f t="shared" si="6"/>
        <v>0</v>
      </c>
      <c r="K23" s="150">
        <f t="shared" si="7"/>
        <v>0</v>
      </c>
      <c r="L23" s="150"/>
      <c r="M23" s="150"/>
      <c r="N23" s="152"/>
      <c r="O23" s="146">
        <f ca="1">IF(OR(A23="",$O$3=0),0,
IF(AND(OR($O$2="ASGNLB1",$O$2="ASGNLB2"),$O$3&gt;30,$A23&gt;49),0,
IF(AND(照護有術顯示判斷=2,'試算表(16歲-65歲)'!A23&gt;=20,'試算表(16歲-65歲)'!A23&lt;=29),0,
VLOOKUP("P"&amp;REPT("0",2-LEN(商品年期))&amp;商品年期&amp;"S"&amp;"2"&amp;"A"&amp;REPT("0",2-LEN(A23))&amp;A23,INDIRECT(主約費率表),6,FALSE)*$O$3)))</f>
        <v>19960</v>
      </c>
      <c r="P23" s="146">
        <f t="shared" si="8"/>
        <v>0</v>
      </c>
      <c r="Q23" s="146">
        <f t="shared" si="9"/>
        <v>0</v>
      </c>
      <c r="R23" s="146">
        <f t="shared" si="10"/>
        <v>0</v>
      </c>
      <c r="S23" s="146">
        <f t="shared" si="11"/>
        <v>0</v>
      </c>
      <c r="T23" s="146">
        <f t="shared" si="12"/>
        <v>0</v>
      </c>
      <c r="U23" s="146" cm="1">
        <f t="array" ref="U23">IF(OR(A23="",$U$3=0),0,IF(ISERROR($U$3),0,ROUND(INDEX(MT_NP,1,職業等級)+(MAX(0,MT保額-3)*INDEX(MT_NP,2,職業等級)),0)))</f>
        <v>0</v>
      </c>
      <c r="V23" s="146">
        <f t="shared" si="13"/>
        <v>0</v>
      </c>
      <c r="W23" s="146">
        <f t="shared" si="14"/>
        <v>0</v>
      </c>
      <c r="X23" s="146">
        <f t="shared" si="15"/>
        <v>0</v>
      </c>
      <c r="Y23" s="146"/>
      <c r="Z23" s="146"/>
      <c r="AA23" s="153"/>
    </row>
    <row r="24" spans="1:27">
      <c r="A24" s="149">
        <f t="shared" si="16"/>
        <v>36</v>
      </c>
      <c r="B24" s="150" cm="1">
        <f t="array" aca="1" ref="B24" ca="1">IF(OR(A24="",$B$3=0),0,
IF(AND(OR($B$2="ASGNLB1",$B$2="ASGNLB2"),$B$3&gt;30,$A24&gt;49),0,
IF(AND(照護有術顯示判斷=2,'試算表(16歲-65歲)'!A24&gt;=20,'試算表(16歲-65歲)'!A24&lt;=29),0,
VLOOKUP("P"&amp;REPT("0",2-LEN(商品年期))&amp;商品年期&amp;"S"&amp;"1"&amp;"A"&amp;REPT("0",2-LEN(A24))&amp;A24,INDIRECT(主約費率表),6,FALSE)*$B$3)))</f>
        <v>22900</v>
      </c>
      <c r="C24" s="150">
        <f t="shared" si="0"/>
        <v>0</v>
      </c>
      <c r="D24" s="150">
        <f t="shared" si="1"/>
        <v>0</v>
      </c>
      <c r="E24" s="150">
        <f t="shared" si="2"/>
        <v>0</v>
      </c>
      <c r="F24" s="150">
        <f t="shared" si="3"/>
        <v>0</v>
      </c>
      <c r="G24" s="151">
        <f t="shared" si="4"/>
        <v>0</v>
      </c>
      <c r="H24" s="151" cm="1">
        <f t="array" ref="H24">IF(OR(A24="",$H$3=0),0,IF(ISERROR($H$3),0,ROUND(INDEX(MT_NP,1,職業等級)+(MAX(0,MT保額-3)*INDEX(MT_NP,2,職業等級)),0)))</f>
        <v>0</v>
      </c>
      <c r="I24" s="150">
        <f t="shared" si="5"/>
        <v>0</v>
      </c>
      <c r="J24" s="150">
        <f t="shared" si="6"/>
        <v>0</v>
      </c>
      <c r="K24" s="150">
        <f t="shared" si="7"/>
        <v>0</v>
      </c>
      <c r="L24" s="150"/>
      <c r="M24" s="150"/>
      <c r="N24" s="152"/>
      <c r="O24" s="146">
        <f ca="1">IF(OR(A24="",$O$3=0),0,
IF(AND(OR($O$2="ASGNLB1",$O$2="ASGNLB2"),$O$3&gt;30,$A24&gt;49),0,
IF(AND(照護有術顯示判斷=2,'試算表(16歲-65歲)'!A24&gt;=20,'試算表(16歲-65歲)'!A24&lt;=29),0,
VLOOKUP("P"&amp;REPT("0",2-LEN(商品年期))&amp;商品年期&amp;"S"&amp;"2"&amp;"A"&amp;REPT("0",2-LEN(A24))&amp;A24,INDIRECT(主約費率表),6,FALSE)*$O$3)))</f>
        <v>20360</v>
      </c>
      <c r="P24" s="146">
        <f t="shared" si="8"/>
        <v>0</v>
      </c>
      <c r="Q24" s="146">
        <f t="shared" si="9"/>
        <v>0</v>
      </c>
      <c r="R24" s="146">
        <f t="shared" si="10"/>
        <v>0</v>
      </c>
      <c r="S24" s="146">
        <f t="shared" si="11"/>
        <v>0</v>
      </c>
      <c r="T24" s="146">
        <f t="shared" si="12"/>
        <v>0</v>
      </c>
      <c r="U24" s="146" cm="1">
        <f t="array" ref="U24">IF(OR(A24="",$U$3=0),0,IF(ISERROR($U$3),0,ROUND(INDEX(MT_NP,1,職業等級)+(MAX(0,MT保額-3)*INDEX(MT_NP,2,職業等級)),0)))</f>
        <v>0</v>
      </c>
      <c r="V24" s="146">
        <f t="shared" si="13"/>
        <v>0</v>
      </c>
      <c r="W24" s="146">
        <f t="shared" si="14"/>
        <v>0</v>
      </c>
      <c r="X24" s="146">
        <f t="shared" si="15"/>
        <v>0</v>
      </c>
      <c r="Y24" s="146"/>
      <c r="Z24" s="146"/>
      <c r="AA24" s="153"/>
    </row>
    <row r="25" spans="1:27">
      <c r="A25" s="149">
        <f t="shared" si="16"/>
        <v>37</v>
      </c>
      <c r="B25" s="150" cm="1">
        <f t="array" aca="1" ref="B25" ca="1">IF(OR(A25="",$B$3=0),0,
IF(AND(OR($B$2="ASGNLB1",$B$2="ASGNLB2"),$B$3&gt;30,$A25&gt;49),0,
IF(AND(照護有術顯示判斷=2,'試算表(16歲-65歲)'!A25&gt;=20,'試算表(16歲-65歲)'!A25&lt;=29),0,
VLOOKUP("P"&amp;REPT("0",2-LEN(商品年期))&amp;商品年期&amp;"S"&amp;"1"&amp;"A"&amp;REPT("0",2-LEN(A25))&amp;A25,INDIRECT(主約費率表),6,FALSE)*$B$3)))</f>
        <v>23470</v>
      </c>
      <c r="C25" s="150">
        <f t="shared" si="0"/>
        <v>0</v>
      </c>
      <c r="D25" s="150">
        <f t="shared" si="1"/>
        <v>0</v>
      </c>
      <c r="E25" s="150">
        <f t="shared" si="2"/>
        <v>0</v>
      </c>
      <c r="F25" s="150">
        <f t="shared" si="3"/>
        <v>0</v>
      </c>
      <c r="G25" s="151">
        <f t="shared" si="4"/>
        <v>0</v>
      </c>
      <c r="H25" s="151" cm="1">
        <f t="array" ref="H25">IF(OR(A25="",$H$3=0),0,IF(ISERROR($H$3),0,ROUND(INDEX(MT_NP,1,職業等級)+(MAX(0,MT保額-3)*INDEX(MT_NP,2,職業等級)),0)))</f>
        <v>0</v>
      </c>
      <c r="I25" s="150">
        <f t="shared" si="5"/>
        <v>0</v>
      </c>
      <c r="J25" s="150">
        <f t="shared" si="6"/>
        <v>0</v>
      </c>
      <c r="K25" s="150">
        <f t="shared" si="7"/>
        <v>0</v>
      </c>
      <c r="L25" s="150"/>
      <c r="M25" s="150"/>
      <c r="N25" s="152"/>
      <c r="O25" s="146">
        <f ca="1">IF(OR(A25="",$O$3=0),0,
IF(AND(OR($O$2="ASGNLB1",$O$2="ASGNLB2"),$O$3&gt;30,$A25&gt;49),0,
IF(AND(照護有術顯示判斷=2,'試算表(16歲-65歲)'!A25&gt;=20,'試算表(16歲-65歲)'!A25&lt;=29),0,
VLOOKUP("P"&amp;REPT("0",2-LEN(商品年期))&amp;商品年期&amp;"S"&amp;"2"&amp;"A"&amp;REPT("0",2-LEN(A25))&amp;A25,INDIRECT(主約費率表),6,FALSE)*$O$3)))</f>
        <v>20810</v>
      </c>
      <c r="P25" s="146">
        <f t="shared" si="8"/>
        <v>0</v>
      </c>
      <c r="Q25" s="146">
        <f t="shared" si="9"/>
        <v>0</v>
      </c>
      <c r="R25" s="146">
        <f t="shared" si="10"/>
        <v>0</v>
      </c>
      <c r="S25" s="146">
        <f t="shared" si="11"/>
        <v>0</v>
      </c>
      <c r="T25" s="146">
        <f t="shared" si="12"/>
        <v>0</v>
      </c>
      <c r="U25" s="146" cm="1">
        <f t="array" ref="U25">IF(OR(A25="",$U$3=0),0,IF(ISERROR($U$3),0,ROUND(INDEX(MT_NP,1,職業等級)+(MAX(0,MT保額-3)*INDEX(MT_NP,2,職業等級)),0)))</f>
        <v>0</v>
      </c>
      <c r="V25" s="146">
        <f t="shared" si="13"/>
        <v>0</v>
      </c>
      <c r="W25" s="146">
        <f t="shared" si="14"/>
        <v>0</v>
      </c>
      <c r="X25" s="146">
        <f t="shared" si="15"/>
        <v>0</v>
      </c>
      <c r="Y25" s="146"/>
      <c r="Z25" s="146"/>
      <c r="AA25" s="153"/>
    </row>
    <row r="26" spans="1:27">
      <c r="A26" s="149">
        <f t="shared" si="16"/>
        <v>38</v>
      </c>
      <c r="B26" s="150" cm="1">
        <f t="array" aca="1" ref="B26" ca="1">IF(OR(A26="",$B$3=0),0,
IF(AND(OR($B$2="ASGNLB1",$B$2="ASGNLB2"),$B$3&gt;30,$A26&gt;49),0,
IF(AND(照護有術顯示判斷=2,'試算表(16歲-65歲)'!A26&gt;=20,'試算表(16歲-65歲)'!A26&lt;=29),0,
VLOOKUP("P"&amp;REPT("0",2-LEN(商品年期))&amp;商品年期&amp;"S"&amp;"1"&amp;"A"&amp;REPT("0",2-LEN(A26))&amp;A26,INDIRECT(主約費率表),6,FALSE)*$B$3)))</f>
        <v>24070</v>
      </c>
      <c r="C26" s="150">
        <f t="shared" si="0"/>
        <v>0</v>
      </c>
      <c r="D26" s="150">
        <f t="shared" si="1"/>
        <v>0</v>
      </c>
      <c r="E26" s="150">
        <f t="shared" si="2"/>
        <v>0</v>
      </c>
      <c r="F26" s="150">
        <f t="shared" si="3"/>
        <v>0</v>
      </c>
      <c r="G26" s="151">
        <f t="shared" si="4"/>
        <v>0</v>
      </c>
      <c r="H26" s="151" cm="1">
        <f t="array" ref="H26">IF(OR(A26="",$H$3=0),0,IF(ISERROR($H$3),0,ROUND(INDEX(MT_NP,1,職業等級)+(MAX(0,MT保額-3)*INDEX(MT_NP,2,職業等級)),0)))</f>
        <v>0</v>
      </c>
      <c r="I26" s="150">
        <f t="shared" si="5"/>
        <v>0</v>
      </c>
      <c r="J26" s="150">
        <f t="shared" si="6"/>
        <v>0</v>
      </c>
      <c r="K26" s="150">
        <f t="shared" si="7"/>
        <v>0</v>
      </c>
      <c r="L26" s="150"/>
      <c r="M26" s="150"/>
      <c r="N26" s="152"/>
      <c r="O26" s="146">
        <f ca="1">IF(OR(A26="",$O$3=0),0,
IF(AND(OR($O$2="ASGNLB1",$O$2="ASGNLB2"),$O$3&gt;30,$A26&gt;49),0,
IF(AND(照護有術顯示判斷=2,'試算表(16歲-65歲)'!A26&gt;=20,'試算表(16歲-65歲)'!A26&lt;=29),0,
VLOOKUP("P"&amp;REPT("0",2-LEN(商品年期))&amp;商品年期&amp;"S"&amp;"2"&amp;"A"&amp;REPT("0",2-LEN(A26))&amp;A26,INDIRECT(主約費率表),6,FALSE)*$O$3)))</f>
        <v>21320</v>
      </c>
      <c r="P26" s="146">
        <f t="shared" si="8"/>
        <v>0</v>
      </c>
      <c r="Q26" s="146">
        <f t="shared" si="9"/>
        <v>0</v>
      </c>
      <c r="R26" s="146">
        <f t="shared" si="10"/>
        <v>0</v>
      </c>
      <c r="S26" s="146">
        <f t="shared" si="11"/>
        <v>0</v>
      </c>
      <c r="T26" s="146">
        <f t="shared" si="12"/>
        <v>0</v>
      </c>
      <c r="U26" s="146" cm="1">
        <f t="array" ref="U26">IF(OR(A26="",$U$3=0),0,IF(ISERROR($U$3),0,ROUND(INDEX(MT_NP,1,職業等級)+(MAX(0,MT保額-3)*INDEX(MT_NP,2,職業等級)),0)))</f>
        <v>0</v>
      </c>
      <c r="V26" s="146">
        <f t="shared" si="13"/>
        <v>0</v>
      </c>
      <c r="W26" s="146">
        <f t="shared" si="14"/>
        <v>0</v>
      </c>
      <c r="X26" s="146">
        <f t="shared" si="15"/>
        <v>0</v>
      </c>
      <c r="Y26" s="146"/>
      <c r="Z26" s="146"/>
      <c r="AA26" s="153"/>
    </row>
    <row r="27" spans="1:27">
      <c r="A27" s="149">
        <f t="shared" si="16"/>
        <v>39</v>
      </c>
      <c r="B27" s="150" cm="1">
        <f t="array" aca="1" ref="B27" ca="1">IF(OR(A27="",$B$3=0),0,
IF(AND(OR($B$2="ASGNLB1",$B$2="ASGNLB2"),$B$3&gt;30,$A27&gt;49),0,
IF(AND(照護有術顯示判斷=2,'試算表(16歲-65歲)'!A27&gt;=20,'試算表(16歲-65歲)'!A27&lt;=29),0,
VLOOKUP("P"&amp;REPT("0",2-LEN(商品年期))&amp;商品年期&amp;"S"&amp;"1"&amp;"A"&amp;REPT("0",2-LEN(A27))&amp;A27,INDIRECT(主約費率表),6,FALSE)*$B$3)))</f>
        <v>24710</v>
      </c>
      <c r="C27" s="150">
        <f t="shared" si="0"/>
        <v>0</v>
      </c>
      <c r="D27" s="150">
        <f t="shared" si="1"/>
        <v>0</v>
      </c>
      <c r="E27" s="150">
        <f t="shared" si="2"/>
        <v>0</v>
      </c>
      <c r="F27" s="150">
        <f t="shared" si="3"/>
        <v>0</v>
      </c>
      <c r="G27" s="151">
        <f t="shared" si="4"/>
        <v>0</v>
      </c>
      <c r="H27" s="151" cm="1">
        <f t="array" ref="H27">IF(OR(A27="",$H$3=0),0,IF(ISERROR($H$3),0,ROUND(INDEX(MT_NP,1,職業等級)+(MAX(0,MT保額-3)*INDEX(MT_NP,2,職業等級)),0)))</f>
        <v>0</v>
      </c>
      <c r="I27" s="150">
        <f t="shared" si="5"/>
        <v>0</v>
      </c>
      <c r="J27" s="150">
        <f t="shared" si="6"/>
        <v>0</v>
      </c>
      <c r="K27" s="150">
        <f t="shared" si="7"/>
        <v>0</v>
      </c>
      <c r="L27" s="150"/>
      <c r="M27" s="150"/>
      <c r="N27" s="152"/>
      <c r="O27" s="146">
        <f ca="1">IF(OR(A27="",$O$3=0),0,
IF(AND(OR($O$2="ASGNLB1",$O$2="ASGNLB2"),$O$3&gt;30,$A27&gt;49),0,
IF(AND(照護有術顯示判斷=2,'試算表(16歲-65歲)'!A27&gt;=20,'試算表(16歲-65歲)'!A27&lt;=29),0,
VLOOKUP("P"&amp;REPT("0",2-LEN(商品年期))&amp;商品年期&amp;"S"&amp;"2"&amp;"A"&amp;REPT("0",2-LEN(A27))&amp;A27,INDIRECT(主約費率表),6,FALSE)*$O$3)))</f>
        <v>21890</v>
      </c>
      <c r="P27" s="146">
        <f t="shared" si="8"/>
        <v>0</v>
      </c>
      <c r="Q27" s="146">
        <f t="shared" si="9"/>
        <v>0</v>
      </c>
      <c r="R27" s="146">
        <f t="shared" si="10"/>
        <v>0</v>
      </c>
      <c r="S27" s="146">
        <f t="shared" si="11"/>
        <v>0</v>
      </c>
      <c r="T27" s="146">
        <f t="shared" si="12"/>
        <v>0</v>
      </c>
      <c r="U27" s="146" cm="1">
        <f t="array" ref="U27">IF(OR(A27="",$U$3=0),0,IF(ISERROR($U$3),0,ROUND(INDEX(MT_NP,1,職業等級)+(MAX(0,MT保額-3)*INDEX(MT_NP,2,職業等級)),0)))</f>
        <v>0</v>
      </c>
      <c r="V27" s="146">
        <f t="shared" si="13"/>
        <v>0</v>
      </c>
      <c r="W27" s="146">
        <f t="shared" si="14"/>
        <v>0</v>
      </c>
      <c r="X27" s="146">
        <f t="shared" si="15"/>
        <v>0</v>
      </c>
      <c r="Y27" s="146"/>
      <c r="Z27" s="146"/>
      <c r="AA27" s="153"/>
    </row>
    <row r="28" spans="1:27">
      <c r="A28" s="149">
        <f t="shared" si="16"/>
        <v>40</v>
      </c>
      <c r="B28" s="150" cm="1">
        <f t="array" aca="1" ref="B28" ca="1">IF(OR(A28="",$B$3=0),0,
IF(AND(OR($B$2="ASGNLB1",$B$2="ASGNLB2"),$B$3&gt;30,$A28&gt;49),0,
IF(AND(照護有術顯示判斷=2,'試算表(16歲-65歲)'!A28&gt;=20,'試算表(16歲-65歲)'!A28&lt;=29),0,
VLOOKUP("P"&amp;REPT("0",2-LEN(商品年期))&amp;商品年期&amp;"S"&amp;"1"&amp;"A"&amp;REPT("0",2-LEN(A28))&amp;A28,INDIRECT(主約費率表),6,FALSE)*$B$3)))</f>
        <v>25380</v>
      </c>
      <c r="C28" s="150">
        <f t="shared" si="0"/>
        <v>0</v>
      </c>
      <c r="D28" s="150">
        <f t="shared" si="1"/>
        <v>0</v>
      </c>
      <c r="E28" s="150">
        <f t="shared" si="2"/>
        <v>0</v>
      </c>
      <c r="F28" s="150">
        <f t="shared" si="3"/>
        <v>0</v>
      </c>
      <c r="G28" s="151">
        <f t="shared" si="4"/>
        <v>0</v>
      </c>
      <c r="H28" s="151" cm="1">
        <f t="array" ref="H28">IF(OR(A28="",$H$3=0),0,IF(ISERROR($H$3),0,ROUND(INDEX(MT_NP,1,職業等級)+(MAX(0,MT保額-3)*INDEX(MT_NP,2,職業等級)),0)))</f>
        <v>0</v>
      </c>
      <c r="I28" s="150">
        <f t="shared" si="5"/>
        <v>0</v>
      </c>
      <c r="J28" s="150">
        <f t="shared" si="6"/>
        <v>0</v>
      </c>
      <c r="K28" s="150">
        <f t="shared" si="7"/>
        <v>0</v>
      </c>
      <c r="L28" s="150"/>
      <c r="M28" s="150"/>
      <c r="N28" s="152"/>
      <c r="O28" s="146">
        <f ca="1">IF(OR(A28="",$O$3=0),0,
IF(AND(OR($O$2="ASGNLB1",$O$2="ASGNLB2"),$O$3&gt;30,$A28&gt;49),0,
IF(AND(照護有術顯示判斷=2,'試算表(16歲-65歲)'!A28&gt;=20,'試算表(16歲-65歲)'!A28&lt;=29),0,
VLOOKUP("P"&amp;REPT("0",2-LEN(商品年期))&amp;商品年期&amp;"S"&amp;"2"&amp;"A"&amp;REPT("0",2-LEN(A28))&amp;A28,INDIRECT(主約費率表),6,FALSE)*$O$3)))</f>
        <v>22580</v>
      </c>
      <c r="P28" s="146">
        <f t="shared" si="8"/>
        <v>0</v>
      </c>
      <c r="Q28" s="146">
        <f t="shared" si="9"/>
        <v>0</v>
      </c>
      <c r="R28" s="146">
        <f t="shared" si="10"/>
        <v>0</v>
      </c>
      <c r="S28" s="146">
        <f t="shared" si="11"/>
        <v>0</v>
      </c>
      <c r="T28" s="146">
        <f t="shared" si="12"/>
        <v>0</v>
      </c>
      <c r="U28" s="146" cm="1">
        <f t="array" ref="U28">IF(OR(A28="",$U$3=0),0,IF(ISERROR($U$3),0,ROUND(INDEX(MT_NP,1,職業等級)+(MAX(0,MT保額-3)*INDEX(MT_NP,2,職業等級)),0)))</f>
        <v>0</v>
      </c>
      <c r="V28" s="146">
        <f t="shared" si="13"/>
        <v>0</v>
      </c>
      <c r="W28" s="146">
        <f t="shared" si="14"/>
        <v>0</v>
      </c>
      <c r="X28" s="146">
        <f t="shared" si="15"/>
        <v>0</v>
      </c>
      <c r="Y28" s="146"/>
      <c r="Z28" s="146"/>
      <c r="AA28" s="153"/>
    </row>
    <row r="29" spans="1:27">
      <c r="A29" s="149">
        <f t="shared" si="16"/>
        <v>41</v>
      </c>
      <c r="B29" s="150" cm="1">
        <f t="array" aca="1" ref="B29" ca="1">IF(OR(A29="",$B$3=0),0,
IF(AND(OR($B$2="ASGNLB1",$B$2="ASGNLB2"),$B$3&gt;30,$A29&gt;49),0,
IF(AND(照護有術顯示判斷=2,'試算表(16歲-65歲)'!A29&gt;=20,'試算表(16歲-65歲)'!A29&lt;=29),0,
VLOOKUP("P"&amp;REPT("0",2-LEN(商品年期))&amp;商品年期&amp;"S"&amp;"1"&amp;"A"&amp;REPT("0",2-LEN(A29))&amp;A29,INDIRECT(主約費率表),6,FALSE)*$B$3)))</f>
        <v>26140</v>
      </c>
      <c r="C29" s="150">
        <f t="shared" si="0"/>
        <v>0</v>
      </c>
      <c r="D29" s="150">
        <f t="shared" si="1"/>
        <v>0</v>
      </c>
      <c r="E29" s="150">
        <f t="shared" si="2"/>
        <v>0</v>
      </c>
      <c r="F29" s="150">
        <f t="shared" si="3"/>
        <v>0</v>
      </c>
      <c r="G29" s="151">
        <f t="shared" si="4"/>
        <v>0</v>
      </c>
      <c r="H29" s="151" cm="1">
        <f t="array" ref="H29">IF(OR(A29="",$H$3=0),0,IF(ISERROR($H$3),0,ROUND(INDEX(MT_NP,1,職業等級)+(MAX(0,MT保額-3)*INDEX(MT_NP,2,職業等級)),0)))</f>
        <v>0</v>
      </c>
      <c r="I29" s="150">
        <f t="shared" si="5"/>
        <v>0</v>
      </c>
      <c r="J29" s="150">
        <f t="shared" si="6"/>
        <v>0</v>
      </c>
      <c r="K29" s="150">
        <f t="shared" si="7"/>
        <v>0</v>
      </c>
      <c r="L29" s="150"/>
      <c r="M29" s="150"/>
      <c r="N29" s="152"/>
      <c r="O29" s="146">
        <f ca="1">IF(OR(A29="",$O$3=0),0,
IF(AND(OR($O$2="ASGNLB1",$O$2="ASGNLB2"),$O$3&gt;30,$A29&gt;49),0,
IF(AND(照護有術顯示判斷=2,'試算表(16歲-65歲)'!A29&gt;=20,'試算表(16歲-65歲)'!A29&lt;=29),0,
VLOOKUP("P"&amp;REPT("0",2-LEN(商品年期))&amp;商品年期&amp;"S"&amp;"2"&amp;"A"&amp;REPT("0",2-LEN(A29))&amp;A29,INDIRECT(主約費率表),6,FALSE)*$O$3)))</f>
        <v>23000</v>
      </c>
      <c r="P29" s="146">
        <f t="shared" si="8"/>
        <v>0</v>
      </c>
      <c r="Q29" s="146">
        <f t="shared" si="9"/>
        <v>0</v>
      </c>
      <c r="R29" s="146">
        <f t="shared" si="10"/>
        <v>0</v>
      </c>
      <c r="S29" s="146">
        <f t="shared" si="11"/>
        <v>0</v>
      </c>
      <c r="T29" s="146">
        <f t="shared" si="12"/>
        <v>0</v>
      </c>
      <c r="U29" s="146" cm="1">
        <f t="array" ref="U29">IF(OR(A29="",$U$3=0),0,IF(ISERROR($U$3),0,ROUND(INDEX(MT_NP,1,職業等級)+(MAX(0,MT保額-3)*INDEX(MT_NP,2,職業等級)),0)))</f>
        <v>0</v>
      </c>
      <c r="V29" s="146">
        <f t="shared" si="13"/>
        <v>0</v>
      </c>
      <c r="W29" s="146">
        <f t="shared" si="14"/>
        <v>0</v>
      </c>
      <c r="X29" s="146">
        <f t="shared" si="15"/>
        <v>0</v>
      </c>
      <c r="Y29" s="146"/>
      <c r="Z29" s="146"/>
      <c r="AA29" s="153"/>
    </row>
    <row r="30" spans="1:27">
      <c r="A30" s="149">
        <f t="shared" si="16"/>
        <v>42</v>
      </c>
      <c r="B30" s="150" cm="1">
        <f t="array" aca="1" ref="B30" ca="1">IF(OR(A30="",$B$3=0),0,
IF(AND(OR($B$2="ASGNLB1",$B$2="ASGNLB2"),$B$3&gt;30,$A30&gt;49),0,
IF(AND(照護有術顯示判斷=2,'試算表(16歲-65歲)'!A30&gt;=20,'試算表(16歲-65歲)'!A30&lt;=29),0,
VLOOKUP("P"&amp;REPT("0",2-LEN(商品年期))&amp;商品年期&amp;"S"&amp;"1"&amp;"A"&amp;REPT("0",2-LEN(A30))&amp;A30,INDIRECT(主約費率表),6,FALSE)*$B$3)))</f>
        <v>26950</v>
      </c>
      <c r="C30" s="150">
        <f t="shared" si="0"/>
        <v>0</v>
      </c>
      <c r="D30" s="150">
        <f t="shared" si="1"/>
        <v>0</v>
      </c>
      <c r="E30" s="150">
        <f t="shared" si="2"/>
        <v>0</v>
      </c>
      <c r="F30" s="150">
        <f t="shared" si="3"/>
        <v>0</v>
      </c>
      <c r="G30" s="151">
        <f t="shared" si="4"/>
        <v>0</v>
      </c>
      <c r="H30" s="151" cm="1">
        <f t="array" ref="H30">IF(OR(A30="",$H$3=0),0,IF(ISERROR($H$3),0,ROUND(INDEX(MT_NP,1,職業等級)+(MAX(0,MT保額-3)*INDEX(MT_NP,2,職業等級)),0)))</f>
        <v>0</v>
      </c>
      <c r="I30" s="150">
        <f t="shared" si="5"/>
        <v>0</v>
      </c>
      <c r="J30" s="150">
        <f t="shared" si="6"/>
        <v>0</v>
      </c>
      <c r="K30" s="150">
        <f t="shared" si="7"/>
        <v>0</v>
      </c>
      <c r="L30" s="150"/>
      <c r="M30" s="150"/>
      <c r="N30" s="152"/>
      <c r="O30" s="146">
        <f ca="1">IF(OR(A30="",$O$3=0),0,
IF(AND(OR($O$2="ASGNLB1",$O$2="ASGNLB2"),$O$3&gt;30,$A30&gt;49),0,
IF(AND(照護有術顯示判斷=2,'試算表(16歲-65歲)'!A30&gt;=20,'試算表(16歲-65歲)'!A30&lt;=29),0,
VLOOKUP("P"&amp;REPT("0",2-LEN(商品年期))&amp;商品年期&amp;"S"&amp;"2"&amp;"A"&amp;REPT("0",2-LEN(A30))&amp;A30,INDIRECT(主約費率表),6,FALSE)*$O$3)))</f>
        <v>23470</v>
      </c>
      <c r="P30" s="146">
        <f t="shared" si="8"/>
        <v>0</v>
      </c>
      <c r="Q30" s="146">
        <f t="shared" si="9"/>
        <v>0</v>
      </c>
      <c r="R30" s="146">
        <f t="shared" si="10"/>
        <v>0</v>
      </c>
      <c r="S30" s="146">
        <f t="shared" si="11"/>
        <v>0</v>
      </c>
      <c r="T30" s="146">
        <f t="shared" si="12"/>
        <v>0</v>
      </c>
      <c r="U30" s="146" cm="1">
        <f t="array" ref="U30">IF(OR(A30="",$U$3=0),0,IF(ISERROR($U$3),0,ROUND(INDEX(MT_NP,1,職業等級)+(MAX(0,MT保額-3)*INDEX(MT_NP,2,職業等級)),0)))</f>
        <v>0</v>
      </c>
      <c r="V30" s="146">
        <f t="shared" si="13"/>
        <v>0</v>
      </c>
      <c r="W30" s="146">
        <f t="shared" si="14"/>
        <v>0</v>
      </c>
      <c r="X30" s="146">
        <f t="shared" si="15"/>
        <v>0</v>
      </c>
      <c r="Y30" s="146"/>
      <c r="Z30" s="146"/>
      <c r="AA30" s="153"/>
    </row>
    <row r="31" spans="1:27">
      <c r="A31" s="149">
        <f t="shared" si="16"/>
        <v>43</v>
      </c>
      <c r="B31" s="150" cm="1">
        <f t="array" aca="1" ref="B31" ca="1">IF(OR(A31="",$B$3=0),0,
IF(AND(OR($B$2="ASGNLB1",$B$2="ASGNLB2"),$B$3&gt;30,$A31&gt;49),0,
IF(AND(照護有術顯示判斷=2,'試算表(16歲-65歲)'!A31&gt;=20,'試算表(16歲-65歲)'!A31&lt;=29),0,
VLOOKUP("P"&amp;REPT("0",2-LEN(商品年期))&amp;商品年期&amp;"S"&amp;"1"&amp;"A"&amp;REPT("0",2-LEN(A31))&amp;A31,INDIRECT(主約費率表),6,FALSE)*$B$3)))</f>
        <v>27810</v>
      </c>
      <c r="C31" s="150">
        <f t="shared" si="0"/>
        <v>0</v>
      </c>
      <c r="D31" s="150">
        <f t="shared" si="1"/>
        <v>0</v>
      </c>
      <c r="E31" s="150">
        <f t="shared" si="2"/>
        <v>0</v>
      </c>
      <c r="F31" s="150">
        <f t="shared" si="3"/>
        <v>0</v>
      </c>
      <c r="G31" s="151">
        <f t="shared" si="4"/>
        <v>0</v>
      </c>
      <c r="H31" s="151" cm="1">
        <f t="array" ref="H31">IF(OR(A31="",$H$3=0),0,IF(ISERROR($H$3),0,ROUND(INDEX(MT_NP,1,職業等級)+(MAX(0,MT保額-3)*INDEX(MT_NP,2,職業等級)),0)))</f>
        <v>0</v>
      </c>
      <c r="I31" s="150">
        <f t="shared" si="5"/>
        <v>0</v>
      </c>
      <c r="J31" s="150">
        <f t="shared" si="6"/>
        <v>0</v>
      </c>
      <c r="K31" s="150">
        <f t="shared" si="7"/>
        <v>0</v>
      </c>
      <c r="L31" s="150"/>
      <c r="M31" s="150"/>
      <c r="N31" s="152"/>
      <c r="O31" s="146">
        <f ca="1">IF(OR(A31="",$O$3=0),0,
IF(AND(OR($O$2="ASGNLB1",$O$2="ASGNLB2"),$O$3&gt;30,$A31&gt;49),0,
IF(AND(照護有術顯示判斷=2,'試算表(16歲-65歲)'!A31&gt;=20,'試算表(16歲-65歲)'!A31&lt;=29),0,
VLOOKUP("P"&amp;REPT("0",2-LEN(商品年期))&amp;商品年期&amp;"S"&amp;"2"&amp;"A"&amp;REPT("0",2-LEN(A31))&amp;A31,INDIRECT(主約費率表),6,FALSE)*$O$3)))</f>
        <v>24000</v>
      </c>
      <c r="P31" s="146">
        <f t="shared" si="8"/>
        <v>0</v>
      </c>
      <c r="Q31" s="146">
        <f t="shared" si="9"/>
        <v>0</v>
      </c>
      <c r="R31" s="146">
        <f t="shared" si="10"/>
        <v>0</v>
      </c>
      <c r="S31" s="146">
        <f t="shared" si="11"/>
        <v>0</v>
      </c>
      <c r="T31" s="146">
        <f t="shared" si="12"/>
        <v>0</v>
      </c>
      <c r="U31" s="146" cm="1">
        <f t="array" ref="U31">IF(OR(A31="",$U$3=0),0,IF(ISERROR($U$3),0,ROUND(INDEX(MT_NP,1,職業等級)+(MAX(0,MT保額-3)*INDEX(MT_NP,2,職業等級)),0)))</f>
        <v>0</v>
      </c>
      <c r="V31" s="146">
        <f t="shared" si="13"/>
        <v>0</v>
      </c>
      <c r="W31" s="146">
        <f t="shared" si="14"/>
        <v>0</v>
      </c>
      <c r="X31" s="146">
        <f t="shared" si="15"/>
        <v>0</v>
      </c>
      <c r="Y31" s="146"/>
      <c r="Z31" s="146"/>
      <c r="AA31" s="153"/>
    </row>
    <row r="32" spans="1:27">
      <c r="A32" s="149">
        <f t="shared" si="16"/>
        <v>44</v>
      </c>
      <c r="B32" s="150" cm="1">
        <f t="array" aca="1" ref="B32" ca="1">IF(OR(A32="",$B$3=0),0,
IF(AND(OR($B$2="ASGNLB1",$B$2="ASGNLB2"),$B$3&gt;30,$A32&gt;49),0,
IF(AND(照護有術顯示判斷=2,'試算表(16歲-65歲)'!A32&gt;=20,'試算表(16歲-65歲)'!A32&lt;=29),0,
VLOOKUP("P"&amp;REPT("0",2-LEN(商品年期))&amp;商品年期&amp;"S"&amp;"1"&amp;"A"&amp;REPT("0",2-LEN(A32))&amp;A32,INDIRECT(主約費率表),6,FALSE)*$B$3)))</f>
        <v>28720</v>
      </c>
      <c r="C32" s="150">
        <f t="shared" si="0"/>
        <v>0</v>
      </c>
      <c r="D32" s="150">
        <f t="shared" si="1"/>
        <v>0</v>
      </c>
      <c r="E32" s="150">
        <f t="shared" si="2"/>
        <v>0</v>
      </c>
      <c r="F32" s="150">
        <f t="shared" si="3"/>
        <v>0</v>
      </c>
      <c r="G32" s="151">
        <f t="shared" si="4"/>
        <v>0</v>
      </c>
      <c r="H32" s="151" cm="1">
        <f t="array" ref="H32">IF(OR(A32="",$H$3=0),0,IF(ISERROR($H$3),0,ROUND(INDEX(MT_NP,1,職業等級)+(MAX(0,MT保額-3)*INDEX(MT_NP,2,職業等級)),0)))</f>
        <v>0</v>
      </c>
      <c r="I32" s="150">
        <f t="shared" si="5"/>
        <v>0</v>
      </c>
      <c r="J32" s="150">
        <f t="shared" si="6"/>
        <v>0</v>
      </c>
      <c r="K32" s="150">
        <f t="shared" si="7"/>
        <v>0</v>
      </c>
      <c r="L32" s="150"/>
      <c r="M32" s="150"/>
      <c r="N32" s="152"/>
      <c r="O32" s="146">
        <f ca="1">IF(OR(A32="",$O$3=0),0,
IF(AND(OR($O$2="ASGNLB1",$O$2="ASGNLB2"),$O$3&gt;30,$A32&gt;49),0,
IF(AND(照護有術顯示判斷=2,'試算表(16歲-65歲)'!A32&gt;=20,'試算表(16歲-65歲)'!A32&lt;=29),0,
VLOOKUP("P"&amp;REPT("0",2-LEN(商品年期))&amp;商品年期&amp;"S"&amp;"2"&amp;"A"&amp;REPT("0",2-LEN(A32))&amp;A32,INDIRECT(主約費率表),6,FALSE)*$O$3)))</f>
        <v>24560</v>
      </c>
      <c r="P32" s="146">
        <f t="shared" si="8"/>
        <v>0</v>
      </c>
      <c r="Q32" s="146">
        <f t="shared" si="9"/>
        <v>0</v>
      </c>
      <c r="R32" s="146">
        <f t="shared" si="10"/>
        <v>0</v>
      </c>
      <c r="S32" s="146">
        <f t="shared" si="11"/>
        <v>0</v>
      </c>
      <c r="T32" s="146">
        <f t="shared" si="12"/>
        <v>0</v>
      </c>
      <c r="U32" s="146" cm="1">
        <f t="array" ref="U32">IF(OR(A32="",$U$3=0),0,IF(ISERROR($U$3),0,ROUND(INDEX(MT_NP,1,職業等級)+(MAX(0,MT保額-3)*INDEX(MT_NP,2,職業等級)),0)))</f>
        <v>0</v>
      </c>
      <c r="V32" s="146">
        <f t="shared" si="13"/>
        <v>0</v>
      </c>
      <c r="W32" s="146">
        <f t="shared" si="14"/>
        <v>0</v>
      </c>
      <c r="X32" s="146">
        <f t="shared" si="15"/>
        <v>0</v>
      </c>
      <c r="Y32" s="146"/>
      <c r="Z32" s="146"/>
      <c r="AA32" s="153"/>
    </row>
    <row r="33" spans="1:27">
      <c r="A33" s="149">
        <f t="shared" si="16"/>
        <v>45</v>
      </c>
      <c r="B33" s="150" cm="1">
        <f t="array" aca="1" ref="B33" ca="1">IF(OR(A33="",$B$3=0),0,
IF(AND(OR($B$2="ASGNLB1",$B$2="ASGNLB2"),$B$3&gt;30,$A33&gt;49),0,
IF(AND(照護有術顯示判斷=2,'試算表(16歲-65歲)'!A33&gt;=20,'試算表(16歲-65歲)'!A33&lt;=29),0,
VLOOKUP("P"&amp;REPT("0",2-LEN(商品年期))&amp;商品年期&amp;"S"&amp;"1"&amp;"A"&amp;REPT("0",2-LEN(A33))&amp;A33,INDIRECT(主約費率表),6,FALSE)*$B$3)))</f>
        <v>29680</v>
      </c>
      <c r="C33" s="150">
        <f t="shared" si="0"/>
        <v>0</v>
      </c>
      <c r="D33" s="150">
        <f t="shared" si="1"/>
        <v>0</v>
      </c>
      <c r="E33" s="150">
        <f t="shared" si="2"/>
        <v>0</v>
      </c>
      <c r="F33" s="150">
        <f t="shared" si="3"/>
        <v>0</v>
      </c>
      <c r="G33" s="151">
        <f t="shared" si="4"/>
        <v>0</v>
      </c>
      <c r="H33" s="151" cm="1">
        <f t="array" ref="H33">IF(OR(A33="",$H$3=0),0,IF(ISERROR($H$3),0,ROUND(INDEX(MT_NP,1,職業等級)+(MAX(0,MT保額-3)*INDEX(MT_NP,2,職業等級)),0)))</f>
        <v>0</v>
      </c>
      <c r="I33" s="150">
        <f t="shared" si="5"/>
        <v>0</v>
      </c>
      <c r="J33" s="150">
        <f t="shared" si="6"/>
        <v>0</v>
      </c>
      <c r="K33" s="150">
        <f t="shared" si="7"/>
        <v>0</v>
      </c>
      <c r="L33" s="150"/>
      <c r="M33" s="150"/>
      <c r="N33" s="152"/>
      <c r="O33" s="146">
        <f ca="1">IF(OR(A33="",$O$3=0),0,
IF(AND(OR($O$2="ASGNLB1",$O$2="ASGNLB2"),$O$3&gt;30,$A33&gt;49),0,
IF(AND(照護有術顯示判斷=2,'試算表(16歲-65歲)'!A33&gt;=20,'試算表(16歲-65歲)'!A33&lt;=29),0,
VLOOKUP("P"&amp;REPT("0",2-LEN(商品年期))&amp;商品年期&amp;"S"&amp;"2"&amp;"A"&amp;REPT("0",2-LEN(A33))&amp;A33,INDIRECT(主約費率表),6,FALSE)*$O$3)))</f>
        <v>25190</v>
      </c>
      <c r="P33" s="146">
        <f t="shared" si="8"/>
        <v>0</v>
      </c>
      <c r="Q33" s="146">
        <f t="shared" si="9"/>
        <v>0</v>
      </c>
      <c r="R33" s="146">
        <f t="shared" si="10"/>
        <v>0</v>
      </c>
      <c r="S33" s="146">
        <f t="shared" si="11"/>
        <v>0</v>
      </c>
      <c r="T33" s="146">
        <f t="shared" si="12"/>
        <v>0</v>
      </c>
      <c r="U33" s="146" cm="1">
        <f t="array" ref="U33">IF(OR(A33="",$U$3=0),0,IF(ISERROR($U$3),0,ROUND(INDEX(MT_NP,1,職業等級)+(MAX(0,MT保額-3)*INDEX(MT_NP,2,職業等級)),0)))</f>
        <v>0</v>
      </c>
      <c r="V33" s="146">
        <f t="shared" si="13"/>
        <v>0</v>
      </c>
      <c r="W33" s="146">
        <f t="shared" si="14"/>
        <v>0</v>
      </c>
      <c r="X33" s="146">
        <f t="shared" si="15"/>
        <v>0</v>
      </c>
      <c r="Y33" s="146"/>
      <c r="Z33" s="146"/>
      <c r="AA33" s="153"/>
    </row>
    <row r="34" spans="1:27">
      <c r="A34" s="149">
        <f t="shared" si="16"/>
        <v>46</v>
      </c>
      <c r="B34" s="150" cm="1">
        <f t="array" aca="1" ref="B34" ca="1">IF(OR(A34="",$B$3=0),0,
IF(AND(OR($B$2="ASGNLB1",$B$2="ASGNLB2"),$B$3&gt;30,$A34&gt;49),0,
IF(AND(照護有術顯示判斷=2,'試算表(16歲-65歲)'!A34&gt;=20,'試算表(16歲-65歲)'!A34&lt;=29),0,
VLOOKUP("P"&amp;REPT("0",2-LEN(商品年期))&amp;商品年期&amp;"S"&amp;"1"&amp;"A"&amp;REPT("0",2-LEN(A34))&amp;A34,INDIRECT(主約費率表),6,FALSE)*$B$3)))</f>
        <v>30680</v>
      </c>
      <c r="C34" s="150">
        <f t="shared" si="0"/>
        <v>0</v>
      </c>
      <c r="D34" s="150">
        <f t="shared" si="1"/>
        <v>0</v>
      </c>
      <c r="E34" s="150">
        <f t="shared" si="2"/>
        <v>0</v>
      </c>
      <c r="F34" s="150">
        <f t="shared" si="3"/>
        <v>0</v>
      </c>
      <c r="G34" s="151">
        <f t="shared" si="4"/>
        <v>0</v>
      </c>
      <c r="H34" s="151" cm="1">
        <f t="array" ref="H34">IF(OR(A34="",$H$3=0),0,IF(ISERROR($H$3),0,ROUND(INDEX(MT_NP,1,職業等級)+(MAX(0,MT保額-3)*INDEX(MT_NP,2,職業等級)),0)))</f>
        <v>0</v>
      </c>
      <c r="I34" s="150">
        <f t="shared" si="5"/>
        <v>0</v>
      </c>
      <c r="J34" s="150">
        <f t="shared" si="6"/>
        <v>0</v>
      </c>
      <c r="K34" s="150">
        <f t="shared" si="7"/>
        <v>0</v>
      </c>
      <c r="L34" s="150"/>
      <c r="M34" s="150"/>
      <c r="N34" s="152"/>
      <c r="O34" s="146">
        <f ca="1">IF(OR(A34="",$O$3=0),0,
IF(AND(OR($O$2="ASGNLB1",$O$2="ASGNLB2"),$O$3&gt;30,$A34&gt;49),0,
IF(AND(照護有術顯示判斷=2,'試算表(16歲-65歲)'!A34&gt;=20,'試算表(16歲-65歲)'!A34&lt;=29),0,
VLOOKUP("P"&amp;REPT("0",2-LEN(商品年期))&amp;商品年期&amp;"S"&amp;"2"&amp;"A"&amp;REPT("0",2-LEN(A34))&amp;A34,INDIRECT(主約費率表),6,FALSE)*$O$3)))</f>
        <v>25850</v>
      </c>
      <c r="P34" s="146">
        <f t="shared" si="8"/>
        <v>0</v>
      </c>
      <c r="Q34" s="146">
        <f t="shared" si="9"/>
        <v>0</v>
      </c>
      <c r="R34" s="146">
        <f t="shared" si="10"/>
        <v>0</v>
      </c>
      <c r="S34" s="146">
        <f t="shared" si="11"/>
        <v>0</v>
      </c>
      <c r="T34" s="146">
        <f t="shared" si="12"/>
        <v>0</v>
      </c>
      <c r="U34" s="146" cm="1">
        <f t="array" ref="U34">IF(OR(A34="",$U$3=0),0,IF(ISERROR($U$3),0,ROUND(INDEX(MT_NP,1,職業等級)+(MAX(0,MT保額-3)*INDEX(MT_NP,2,職業等級)),0)))</f>
        <v>0</v>
      </c>
      <c r="V34" s="146">
        <f t="shared" si="13"/>
        <v>0</v>
      </c>
      <c r="W34" s="146">
        <f t="shared" si="14"/>
        <v>0</v>
      </c>
      <c r="X34" s="146">
        <f t="shared" si="15"/>
        <v>0</v>
      </c>
      <c r="Y34" s="146"/>
      <c r="Z34" s="146"/>
      <c r="AA34" s="153"/>
    </row>
    <row r="35" spans="1:27">
      <c r="A35" s="149">
        <f t="shared" si="16"/>
        <v>47</v>
      </c>
      <c r="B35" s="150" cm="1">
        <f t="array" aca="1" ref="B35" ca="1">IF(OR(A35="",$B$3=0),0,
IF(AND(OR($B$2="ASGNLB1",$B$2="ASGNLB2"),$B$3&gt;30,$A35&gt;49),0,
IF(AND(照護有術顯示判斷=2,'試算表(16歲-65歲)'!A35&gt;=20,'試算表(16歲-65歲)'!A35&lt;=29),0,
VLOOKUP("P"&amp;REPT("0",2-LEN(商品年期))&amp;商品年期&amp;"S"&amp;"1"&amp;"A"&amp;REPT("0",2-LEN(A35))&amp;A35,INDIRECT(主約費率表),6,FALSE)*$B$3)))</f>
        <v>31740</v>
      </c>
      <c r="C35" s="150">
        <f t="shared" si="0"/>
        <v>0</v>
      </c>
      <c r="D35" s="150">
        <f t="shared" si="1"/>
        <v>0</v>
      </c>
      <c r="E35" s="150">
        <f t="shared" si="2"/>
        <v>0</v>
      </c>
      <c r="F35" s="150">
        <f t="shared" si="3"/>
        <v>0</v>
      </c>
      <c r="G35" s="151">
        <f t="shared" si="4"/>
        <v>0</v>
      </c>
      <c r="H35" s="151" cm="1">
        <f t="array" ref="H35">IF(OR(A35="",$H$3=0),0,IF(ISERROR($H$3),0,ROUND(INDEX(MT_NP,1,職業等級)+(MAX(0,MT保額-3)*INDEX(MT_NP,2,職業等級)),0)))</f>
        <v>0</v>
      </c>
      <c r="I35" s="150">
        <f t="shared" si="5"/>
        <v>0</v>
      </c>
      <c r="J35" s="150">
        <f t="shared" si="6"/>
        <v>0</v>
      </c>
      <c r="K35" s="150">
        <f t="shared" si="7"/>
        <v>0</v>
      </c>
      <c r="L35" s="150"/>
      <c r="M35" s="150"/>
      <c r="N35" s="152"/>
      <c r="O35" s="146">
        <f ca="1">IF(OR(A35="",$O$3=0),0,
IF(AND(OR($O$2="ASGNLB1",$O$2="ASGNLB2"),$O$3&gt;30,$A35&gt;49),0,
IF(AND(照護有術顯示判斷=2,'試算表(16歲-65歲)'!A35&gt;=20,'試算表(16歲-65歲)'!A35&lt;=29),0,
VLOOKUP("P"&amp;REPT("0",2-LEN(商品年期))&amp;商品年期&amp;"S"&amp;"2"&amp;"A"&amp;REPT("0",2-LEN(A35))&amp;A35,INDIRECT(主約費率表),6,FALSE)*$O$3)))</f>
        <v>26550</v>
      </c>
      <c r="P35" s="146">
        <f t="shared" si="8"/>
        <v>0</v>
      </c>
      <c r="Q35" s="146">
        <f t="shared" si="9"/>
        <v>0</v>
      </c>
      <c r="R35" s="146">
        <f t="shared" si="10"/>
        <v>0</v>
      </c>
      <c r="S35" s="146">
        <f t="shared" si="11"/>
        <v>0</v>
      </c>
      <c r="T35" s="146">
        <f t="shared" si="12"/>
        <v>0</v>
      </c>
      <c r="U35" s="146" cm="1">
        <f t="array" ref="U35">IF(OR(A35="",$U$3=0),0,IF(ISERROR($U$3),0,ROUND(INDEX(MT_NP,1,職業等級)+(MAX(0,MT保額-3)*INDEX(MT_NP,2,職業等級)),0)))</f>
        <v>0</v>
      </c>
      <c r="V35" s="146">
        <f t="shared" si="13"/>
        <v>0</v>
      </c>
      <c r="W35" s="146">
        <f t="shared" si="14"/>
        <v>0</v>
      </c>
      <c r="X35" s="146">
        <f t="shared" si="15"/>
        <v>0</v>
      </c>
      <c r="Y35" s="146"/>
      <c r="Z35" s="146"/>
      <c r="AA35" s="153"/>
    </row>
    <row r="36" spans="1:27">
      <c r="A36" s="149">
        <f t="shared" si="16"/>
        <v>48</v>
      </c>
      <c r="B36" s="150" cm="1">
        <f t="array" aca="1" ref="B36" ca="1">IF(OR(A36="",$B$3=0),0,
IF(AND(OR($B$2="ASGNLB1",$B$2="ASGNLB2"),$B$3&gt;30,$A36&gt;49),0,
IF(AND(照護有術顯示判斷=2,'試算表(16歲-65歲)'!A36&gt;=20,'試算表(16歲-65歲)'!A36&lt;=29),0,
VLOOKUP("P"&amp;REPT("0",2-LEN(商品年期))&amp;商品年期&amp;"S"&amp;"1"&amp;"A"&amp;REPT("0",2-LEN(A36))&amp;A36,INDIRECT(主約費率表),6,FALSE)*$B$3)))</f>
        <v>32820</v>
      </c>
      <c r="C36" s="150">
        <f t="shared" ref="C36:C67" si="17">IF(OR(A36="",$C$3=0),0,IF(ISERROR($C$3),0,ROUND($C$3*VLOOKUP("P"&amp;REPT("0",2-LEN(BNLTRN1繳費年期))&amp;BNLTRN1繳費年期&amp;"S"&amp;"1"&amp;"A"&amp;REPT("0",2-LEN(A36))&amp;A36,BNLTRN1_NP,6,FALSE),0)))</f>
        <v>0</v>
      </c>
      <c r="D36" s="150">
        <f t="shared" ref="D36:D67" si="18">IF(OR(A36="",$D$3=0),0,IF(ISERROR($D$3),0,ROUND($D$3*VLOOKUP(""&amp;A36,ADDNTR1_NP,2,FALSE),0)))</f>
        <v>0</v>
      </c>
      <c r="E36" s="150">
        <f t="shared" ref="E36:E67" si="19">IF(OR(A36="",$E$3=0),0,IF(ISERROR($E$3),0,ROUND(VLOOKUP("P"&amp;AMRNTR1計劃&amp;"S"&amp;"1"&amp;"A"&amp;REPT("0",2-LEN(A36))&amp;A36,AMRNTR1_NP,6,FALSE),0)))</f>
        <v>0</v>
      </c>
      <c r="F36" s="150">
        <f t="shared" ref="F36:F67" si="20">IF(OR(A36="",$F$3=0),0,IF(ISERROR($F$3),0,ROUND($F$3*VLOOKUP(IF(A36&lt;15,1,IF(A36=15,2,3)),DPAA_NP,2+職業等級,FALSE),0)))</f>
        <v>0</v>
      </c>
      <c r="G36" s="151">
        <f t="shared" ref="G36:G67" si="21">IF(OR(A36="",$G$3=0),0,IF(ISERROR($G$3),0,ROUND(VLOOKUP("ML-"&amp;ML計劃,ML_NP,1+職業等級,FALSE),0)))</f>
        <v>0</v>
      </c>
      <c r="H36" s="151" cm="1">
        <f t="array" ref="H36">IF(OR(A36="",$H$3=0),0,IF(ISERROR($H$3),0,ROUND(INDEX(MT_NP,1,職業等級)+(MAX(0,MT保額-3)*INDEX(MT_NP,2,職業等級)),0)))</f>
        <v>0</v>
      </c>
      <c r="I36" s="150">
        <f t="shared" ref="I36:I67" si="22">IF(OR(A36="",$I$3=0),0,IF(ISERROR($I$3),0,ROUND($I$3*IF(ISERROR(VLOOKUP("P10"&amp;"S"&amp;"1"&amp;"A"&amp;REPT("0",2-LEN(A36))&amp;A36,ACCNTR1_NP,5,FALSE)),0,VLOOKUP("P10"&amp;"S"&amp;"1"&amp;"A"&amp;REPT("0",2-LEN(A36))&amp;A36,ACCNTR1_NP,5,FALSE)),0)))</f>
        <v>0</v>
      </c>
      <c r="J36" s="150">
        <f t="shared" ref="J36:J67" si="23">IF(OR(A36="",$J$3=0),0,IF(ISERROR($J$3),0,ROUND($J$3*VLOOKUP("P01"&amp;"S"&amp;"1"&amp;"A"&amp;REPT("0",2-LEN(A36))&amp;A36,ACCNTR2_NP,5,FALSE),0)))</f>
        <v>0</v>
      </c>
      <c r="K36" s="150">
        <f t="shared" ref="K36:K67" si="24">IF(OR(A36="",$K$3=0),0,IF(ISERROR($K$3),0,ROUND($K$3*VLOOKUP("P01"&amp;"S"&amp;"1"&amp;"A"&amp;REPT("0",2-LEN(A36))&amp;A36,ACCNTR3_NP,5,FALSE),0)))</f>
        <v>0</v>
      </c>
      <c r="L36" s="150"/>
      <c r="M36" s="150"/>
      <c r="N36" s="152"/>
      <c r="O36" s="146">
        <f ca="1">IF(OR(A36="",$O$3=0),0,
IF(AND(OR($O$2="ASGNLB1",$O$2="ASGNLB2"),$O$3&gt;30,$A36&gt;49),0,
IF(AND(照護有術顯示判斷=2,'試算表(16歲-65歲)'!A36&gt;=20,'試算表(16歲-65歲)'!A36&lt;=29),0,
VLOOKUP("P"&amp;REPT("0",2-LEN(商品年期))&amp;商品年期&amp;"S"&amp;"2"&amp;"A"&amp;REPT("0",2-LEN(A36))&amp;A36,INDIRECT(主約費率表),6,FALSE)*$O$3)))</f>
        <v>27270</v>
      </c>
      <c r="P36" s="146">
        <f t="shared" ref="P36:P67" si="25">IF(OR(A36="",$P$3=0),0,IF(ISERROR($P$3),0,ROUND($P$3*VLOOKUP("P"&amp;REPT("0",2-LEN(BNLTRN1繳費年期))&amp;BNLTRN1繳費年期&amp;"S"&amp;"2"&amp;"A"&amp;REPT("0",2-LEN(A36))&amp;A36,BNLTRN1_NP,6,FALSE),0)))</f>
        <v>0</v>
      </c>
      <c r="Q36" s="146">
        <f t="shared" ref="Q36:Q67" si="26">IF(OR(A36="",$Q$3=0),0,IF(ISERROR($Q$3),0,ROUND($Q$3*VLOOKUP(""&amp;A36,ADDNTR1_NP,3,FALSE),0)))</f>
        <v>0</v>
      </c>
      <c r="R36" s="146">
        <f t="shared" ref="R36:R67" si="27">IF(OR(A36="",$R$3=0),0,IF(ISERROR($R$3),0,ROUND(VLOOKUP("P"&amp;AMRNTR1計劃&amp;"S"&amp;"2"&amp;"A"&amp;REPT("0",2-LEN(A36))&amp;A36,AMRNTR1_NP,6,FALSE),0)))</f>
        <v>0</v>
      </c>
      <c r="S36" s="146">
        <f t="shared" ref="S36:S67" si="28">IF(OR(A36="",$S$3=0),0,IF(ISERROR($S$3),0,ROUND($S$3*VLOOKUP(IF(A36&lt;15,1,IF(A36=15,2,3)),DPAA_NP,2+職業等級,FALSE),0)))</f>
        <v>0</v>
      </c>
      <c r="T36" s="146">
        <f t="shared" ref="T36:T67" si="29">IF(OR(A36="",$T$3=0),0,IF(ISERROR($T$3),0,ROUND(VLOOKUP("ML-"&amp;ML計劃,ML_NP,1+職業等級,FALSE),0)))</f>
        <v>0</v>
      </c>
      <c r="U36" s="146" cm="1">
        <f t="array" ref="U36">IF(OR(A36="",$U$3=0),0,IF(ISERROR($U$3),0,ROUND(INDEX(MT_NP,1,職業等級)+(MAX(0,MT保額-3)*INDEX(MT_NP,2,職業等級)),0)))</f>
        <v>0</v>
      </c>
      <c r="V36" s="146">
        <f t="shared" ref="V36:V67" si="30">IF(OR(A36="",$V$3=0),0,IF(ISERROR($V$3),0,ROUND($V$3*IF(ISERROR(VLOOKUP("P10"&amp;"S"&amp;"2"&amp;"A"&amp;REPT("0",2-LEN(A36))&amp;A36,ACCNTR1_NP,5,FALSE)),0,VLOOKUP("P10"&amp;"S"&amp;"2"&amp;"A"&amp;REPT("0",2-LEN(A36))&amp;A36,ACCNTR1_NP,5,FALSE)),0)))</f>
        <v>0</v>
      </c>
      <c r="W36" s="146">
        <f t="shared" ref="W36:W67" si="31">IF(OR(A36="",$W$3=0),0,IF(ISERROR($W$3),0,ROUND($W$3*VLOOKUP("P01"&amp;"S"&amp;"2"&amp;"A"&amp;REPT("0",2-LEN(A36))&amp;A36,ACCNTR2_NP,5,FALSE),0)))</f>
        <v>0</v>
      </c>
      <c r="X36" s="146">
        <f t="shared" ref="X36:X67" si="32">IF(OR(A36="",$X$3=0),0,IF(ISERROR($X$3),0,ROUND($X$3*VLOOKUP("P01"&amp;"S"&amp;"2"&amp;"A"&amp;REPT("0",2-LEN(A36))&amp;A36,ACCNTR3_NP,5,FALSE),0)))</f>
        <v>0</v>
      </c>
      <c r="Y36" s="146"/>
      <c r="Z36" s="146"/>
      <c r="AA36" s="153"/>
    </row>
    <row r="37" spans="1:27">
      <c r="A37" s="149">
        <f t="shared" ref="A37:A68" si="33">IF(A36="","",IF(OR(A36+1&gt;分齡表最大顯示年齡,A36+1&gt;65),"",A36+1))</f>
        <v>49</v>
      </c>
      <c r="B37" s="150" cm="1">
        <f t="array" aca="1" ref="B37" ca="1">IF(OR(A37="",$B$3=0),0,
IF(AND(OR($B$2="ASGNLB1",$B$2="ASGNLB2"),$B$3&gt;30,$A37&gt;49),0,
IF(AND(照護有術顯示判斷=2,'試算表(16歲-65歲)'!A37&gt;=20,'試算表(16歲-65歲)'!A37&lt;=29),0,
VLOOKUP("P"&amp;REPT("0",2-LEN(商品年期))&amp;商品年期&amp;"S"&amp;"1"&amp;"A"&amp;REPT("0",2-LEN(A37))&amp;A37,INDIRECT(主約費率表),6,FALSE)*$B$3)))</f>
        <v>33930</v>
      </c>
      <c r="C37" s="150">
        <f t="shared" si="17"/>
        <v>0</v>
      </c>
      <c r="D37" s="150">
        <f t="shared" si="18"/>
        <v>0</v>
      </c>
      <c r="E37" s="150">
        <f t="shared" si="19"/>
        <v>0</v>
      </c>
      <c r="F37" s="150">
        <f t="shared" si="20"/>
        <v>0</v>
      </c>
      <c r="G37" s="151">
        <f t="shared" si="21"/>
        <v>0</v>
      </c>
      <c r="H37" s="151" cm="1">
        <f t="array" ref="H37">IF(OR(A37="",$H$3=0),0,IF(ISERROR($H$3),0,ROUND(INDEX(MT_NP,1,職業等級)+(MAX(0,MT保額-3)*INDEX(MT_NP,2,職業等級)),0)))</f>
        <v>0</v>
      </c>
      <c r="I37" s="150">
        <f t="shared" si="22"/>
        <v>0</v>
      </c>
      <c r="J37" s="150">
        <f t="shared" si="23"/>
        <v>0</v>
      </c>
      <c r="K37" s="150">
        <f t="shared" si="24"/>
        <v>0</v>
      </c>
      <c r="L37" s="150"/>
      <c r="M37" s="150"/>
      <c r="N37" s="152"/>
      <c r="O37" s="146">
        <f ca="1">IF(OR(A37="",$O$3=0),0,
IF(AND(OR($O$2="ASGNLB1",$O$2="ASGNLB2"),$O$3&gt;30,$A37&gt;49),0,
IF(AND(照護有術顯示判斷=2,'試算表(16歲-65歲)'!A37&gt;=20,'試算表(16歲-65歲)'!A37&lt;=29),0,
VLOOKUP("P"&amp;REPT("0",2-LEN(商品年期))&amp;商品年期&amp;"S"&amp;"2"&amp;"A"&amp;REPT("0",2-LEN(A37))&amp;A37,INDIRECT(主約費率表),6,FALSE)*$O$3)))</f>
        <v>28040</v>
      </c>
      <c r="P37" s="146">
        <f t="shared" si="25"/>
        <v>0</v>
      </c>
      <c r="Q37" s="146">
        <f t="shared" si="26"/>
        <v>0</v>
      </c>
      <c r="R37" s="146">
        <f t="shared" si="27"/>
        <v>0</v>
      </c>
      <c r="S37" s="146">
        <f t="shared" si="28"/>
        <v>0</v>
      </c>
      <c r="T37" s="146">
        <f t="shared" si="29"/>
        <v>0</v>
      </c>
      <c r="U37" s="146" cm="1">
        <f t="array" ref="U37">IF(OR(A37="",$U$3=0),0,IF(ISERROR($U$3),0,ROUND(INDEX(MT_NP,1,職業等級)+(MAX(0,MT保額-3)*INDEX(MT_NP,2,職業等級)),0)))</f>
        <v>0</v>
      </c>
      <c r="V37" s="146">
        <f t="shared" si="30"/>
        <v>0</v>
      </c>
      <c r="W37" s="146">
        <f t="shared" si="31"/>
        <v>0</v>
      </c>
      <c r="X37" s="146">
        <f t="shared" si="32"/>
        <v>0</v>
      </c>
      <c r="Y37" s="146"/>
      <c r="Z37" s="146"/>
      <c r="AA37" s="153"/>
    </row>
    <row r="38" spans="1:27">
      <c r="A38" s="149">
        <f t="shared" si="33"/>
        <v>50</v>
      </c>
      <c r="B38" s="150" cm="1">
        <f t="array" aca="1" ref="B38" ca="1">IF(OR(A38="",$B$3=0),0,
IF(AND(OR($B$2="ASGNLB1",$B$2="ASGNLB2"),$B$3&gt;30,$A38&gt;49),0,
IF(AND(照護有術顯示判斷=2,'試算表(16歲-65歲)'!A38&gt;=20,'試算表(16歲-65歲)'!A38&lt;=29),0,
VLOOKUP("P"&amp;REPT("0",2-LEN(商品年期))&amp;商品年期&amp;"S"&amp;"1"&amp;"A"&amp;REPT("0",2-LEN(A38))&amp;A38,INDIRECT(主約費率表),6,FALSE)*$B$3)))</f>
        <v>35070</v>
      </c>
      <c r="C38" s="150">
        <f t="shared" si="17"/>
        <v>0</v>
      </c>
      <c r="D38" s="150">
        <f t="shared" si="18"/>
        <v>0</v>
      </c>
      <c r="E38" s="150">
        <f t="shared" si="19"/>
        <v>0</v>
      </c>
      <c r="F38" s="150">
        <f t="shared" si="20"/>
        <v>0</v>
      </c>
      <c r="G38" s="151">
        <f t="shared" si="21"/>
        <v>0</v>
      </c>
      <c r="H38" s="151" cm="1">
        <f t="array" ref="H38">IF(OR(A38="",$H$3=0),0,IF(ISERROR($H$3),0,ROUND(INDEX(MT_NP,1,職業等級)+(MAX(0,MT保額-3)*INDEX(MT_NP,2,職業等級)),0)))</f>
        <v>0</v>
      </c>
      <c r="I38" s="150">
        <f t="shared" si="22"/>
        <v>0</v>
      </c>
      <c r="J38" s="150">
        <f t="shared" si="23"/>
        <v>0</v>
      </c>
      <c r="K38" s="150">
        <f t="shared" si="24"/>
        <v>0</v>
      </c>
      <c r="L38" s="150"/>
      <c r="M38" s="150"/>
      <c r="N38" s="152"/>
      <c r="O38" s="146">
        <f ca="1">IF(OR(A38="",$O$3=0),0,
IF(AND(OR($O$2="ASGNLB1",$O$2="ASGNLB2"),$O$3&gt;30,$A38&gt;49),0,
IF(AND(照護有術顯示判斷=2,'試算表(16歲-65歲)'!A38&gt;=20,'試算表(16歲-65歲)'!A38&lt;=29),0,
VLOOKUP("P"&amp;REPT("0",2-LEN(商品年期))&amp;商品年期&amp;"S"&amp;"2"&amp;"A"&amp;REPT("0",2-LEN(A38))&amp;A38,INDIRECT(主約費率表),6,FALSE)*$O$3)))</f>
        <v>28830</v>
      </c>
      <c r="P38" s="146">
        <f t="shared" si="25"/>
        <v>0</v>
      </c>
      <c r="Q38" s="146">
        <f t="shared" si="26"/>
        <v>0</v>
      </c>
      <c r="R38" s="146">
        <f t="shared" si="27"/>
        <v>0</v>
      </c>
      <c r="S38" s="146">
        <f t="shared" si="28"/>
        <v>0</v>
      </c>
      <c r="T38" s="146">
        <f t="shared" si="29"/>
        <v>0</v>
      </c>
      <c r="U38" s="146" cm="1">
        <f t="array" ref="U38">IF(OR(A38="",$U$3=0),0,IF(ISERROR($U$3),0,ROUND(INDEX(MT_NP,1,職業等級)+(MAX(0,MT保額-3)*INDEX(MT_NP,2,職業等級)),0)))</f>
        <v>0</v>
      </c>
      <c r="V38" s="146">
        <f t="shared" si="30"/>
        <v>0</v>
      </c>
      <c r="W38" s="146">
        <f t="shared" si="31"/>
        <v>0</v>
      </c>
      <c r="X38" s="146">
        <f t="shared" si="32"/>
        <v>0</v>
      </c>
      <c r="Y38" s="146"/>
      <c r="Z38" s="146"/>
      <c r="AA38" s="153"/>
    </row>
    <row r="39" spans="1:27">
      <c r="A39" s="149">
        <f t="shared" si="33"/>
        <v>51</v>
      </c>
      <c r="B39" s="150" cm="1">
        <f t="array" aca="1" ref="B39" ca="1">IF(OR(A39="",$B$3=0),0,
IF(AND(OR($B$2="ASGNLB1",$B$2="ASGNLB2"),$B$3&gt;30,$A39&gt;49),0,
IF(AND(照護有術顯示判斷=2,'試算表(16歲-65歲)'!A39&gt;=20,'試算表(16歲-65歲)'!A39&lt;=29),0,
VLOOKUP("P"&amp;REPT("0",2-LEN(商品年期))&amp;商品年期&amp;"S"&amp;"1"&amp;"A"&amp;REPT("0",2-LEN(A39))&amp;A39,INDIRECT(主約費率表),6,FALSE)*$B$3)))</f>
        <v>36320</v>
      </c>
      <c r="C39" s="150">
        <f t="shared" si="17"/>
        <v>0</v>
      </c>
      <c r="D39" s="150">
        <f t="shared" si="18"/>
        <v>0</v>
      </c>
      <c r="E39" s="150">
        <f t="shared" si="19"/>
        <v>0</v>
      </c>
      <c r="F39" s="150">
        <f t="shared" si="20"/>
        <v>0</v>
      </c>
      <c r="G39" s="151">
        <f t="shared" si="21"/>
        <v>0</v>
      </c>
      <c r="H39" s="151" cm="1">
        <f t="array" ref="H39">IF(OR(A39="",$H$3=0),0,IF(ISERROR($H$3),0,ROUND(INDEX(MT_NP,1,職業等級)+(MAX(0,MT保額-3)*INDEX(MT_NP,2,職業等級)),0)))</f>
        <v>0</v>
      </c>
      <c r="I39" s="150">
        <f t="shared" si="22"/>
        <v>0</v>
      </c>
      <c r="J39" s="150">
        <f t="shared" si="23"/>
        <v>0</v>
      </c>
      <c r="K39" s="150">
        <f t="shared" si="24"/>
        <v>0</v>
      </c>
      <c r="L39" s="150"/>
      <c r="M39" s="150"/>
      <c r="N39" s="152"/>
      <c r="O39" s="146">
        <f ca="1">IF(OR(A39="",$O$3=0),0,
IF(AND(OR($O$2="ASGNLB1",$O$2="ASGNLB2"),$O$3&gt;30,$A39&gt;49),0,
IF(AND(照護有術顯示判斷=2,'試算表(16歲-65歲)'!A39&gt;=20,'試算表(16歲-65歲)'!A39&lt;=29),0,
VLOOKUP("P"&amp;REPT("0",2-LEN(商品年期))&amp;商品年期&amp;"S"&amp;"2"&amp;"A"&amp;REPT("0",2-LEN(A39))&amp;A39,INDIRECT(主約費率表),6,FALSE)*$O$3)))</f>
        <v>29700</v>
      </c>
      <c r="P39" s="146">
        <f t="shared" si="25"/>
        <v>0</v>
      </c>
      <c r="Q39" s="146">
        <f t="shared" si="26"/>
        <v>0</v>
      </c>
      <c r="R39" s="146">
        <f t="shared" si="27"/>
        <v>0</v>
      </c>
      <c r="S39" s="146">
        <f t="shared" si="28"/>
        <v>0</v>
      </c>
      <c r="T39" s="146">
        <f t="shared" si="29"/>
        <v>0</v>
      </c>
      <c r="U39" s="146" cm="1">
        <f t="array" ref="U39">IF(OR(A39="",$U$3=0),0,IF(ISERROR($U$3),0,ROUND(INDEX(MT_NP,1,職業等級)+(MAX(0,MT保額-3)*INDEX(MT_NP,2,職業等級)),0)))</f>
        <v>0</v>
      </c>
      <c r="V39" s="146">
        <f t="shared" si="30"/>
        <v>0</v>
      </c>
      <c r="W39" s="146">
        <f t="shared" si="31"/>
        <v>0</v>
      </c>
      <c r="X39" s="146">
        <f t="shared" si="32"/>
        <v>0</v>
      </c>
      <c r="Y39" s="146"/>
      <c r="Z39" s="146"/>
      <c r="AA39" s="153"/>
    </row>
    <row r="40" spans="1:27">
      <c r="A40" s="149">
        <f t="shared" si="33"/>
        <v>52</v>
      </c>
      <c r="B40" s="150" cm="1">
        <f t="array" aca="1" ref="B40" ca="1">IF(OR(A40="",$B$3=0),0,
IF(AND(OR($B$2="ASGNLB1",$B$2="ASGNLB2"),$B$3&gt;30,$A40&gt;49),0,
IF(AND(照護有術顯示判斷=2,'試算表(16歲-65歲)'!A40&gt;=20,'試算表(16歲-65歲)'!A40&lt;=29),0,
VLOOKUP("P"&amp;REPT("0",2-LEN(商品年期))&amp;商品年期&amp;"S"&amp;"1"&amp;"A"&amp;REPT("0",2-LEN(A40))&amp;A40,INDIRECT(主約費率表),6,FALSE)*$B$3)))</f>
        <v>37690</v>
      </c>
      <c r="C40" s="150">
        <f t="shared" si="17"/>
        <v>0</v>
      </c>
      <c r="D40" s="150">
        <f t="shared" si="18"/>
        <v>0</v>
      </c>
      <c r="E40" s="150">
        <f t="shared" si="19"/>
        <v>0</v>
      </c>
      <c r="F40" s="150">
        <f t="shared" si="20"/>
        <v>0</v>
      </c>
      <c r="G40" s="151">
        <f t="shared" si="21"/>
        <v>0</v>
      </c>
      <c r="H40" s="151" cm="1">
        <f t="array" ref="H40">IF(OR(A40="",$H$3=0),0,IF(ISERROR($H$3),0,ROUND(INDEX(MT_NP,1,職業等級)+(MAX(0,MT保額-3)*INDEX(MT_NP,2,職業等級)),0)))</f>
        <v>0</v>
      </c>
      <c r="I40" s="150">
        <f t="shared" si="22"/>
        <v>0</v>
      </c>
      <c r="J40" s="150">
        <f t="shared" si="23"/>
        <v>0</v>
      </c>
      <c r="K40" s="150">
        <f t="shared" si="24"/>
        <v>0</v>
      </c>
      <c r="L40" s="150"/>
      <c r="M40" s="150"/>
      <c r="N40" s="152"/>
      <c r="O40" s="146">
        <f ca="1">IF(OR(A40="",$O$3=0),0,
IF(AND(OR($O$2="ASGNLB1",$O$2="ASGNLB2"),$O$3&gt;30,$A40&gt;49),0,
IF(AND(照護有術顯示判斷=2,'試算表(16歲-65歲)'!A40&gt;=20,'試算表(16歲-65歲)'!A40&lt;=29),0,
VLOOKUP("P"&amp;REPT("0",2-LEN(商品年期))&amp;商品年期&amp;"S"&amp;"2"&amp;"A"&amp;REPT("0",2-LEN(A40))&amp;A40,INDIRECT(主約費率表),6,FALSE)*$O$3)))</f>
        <v>30660</v>
      </c>
      <c r="P40" s="146">
        <f t="shared" si="25"/>
        <v>0</v>
      </c>
      <c r="Q40" s="146">
        <f t="shared" si="26"/>
        <v>0</v>
      </c>
      <c r="R40" s="146">
        <f t="shared" si="27"/>
        <v>0</v>
      </c>
      <c r="S40" s="146">
        <f t="shared" si="28"/>
        <v>0</v>
      </c>
      <c r="T40" s="146">
        <f t="shared" si="29"/>
        <v>0</v>
      </c>
      <c r="U40" s="146" cm="1">
        <f t="array" ref="U40">IF(OR(A40="",$U$3=0),0,IF(ISERROR($U$3),0,ROUND(INDEX(MT_NP,1,職業等級)+(MAX(0,MT保額-3)*INDEX(MT_NP,2,職業等級)),0)))</f>
        <v>0</v>
      </c>
      <c r="V40" s="146">
        <f t="shared" si="30"/>
        <v>0</v>
      </c>
      <c r="W40" s="146">
        <f t="shared" si="31"/>
        <v>0</v>
      </c>
      <c r="X40" s="146">
        <f t="shared" si="32"/>
        <v>0</v>
      </c>
      <c r="Y40" s="146"/>
      <c r="Z40" s="146"/>
      <c r="AA40" s="153"/>
    </row>
    <row r="41" spans="1:27">
      <c r="A41" s="149">
        <f t="shared" si="33"/>
        <v>53</v>
      </c>
      <c r="B41" s="150" cm="1">
        <f t="array" aca="1" ref="B41" ca="1">IF(OR(A41="",$B$3=0),0,
IF(AND(OR($B$2="ASGNLB1",$B$2="ASGNLB2"),$B$3&gt;30,$A41&gt;49),0,
IF(AND(照護有術顯示判斷=2,'試算表(16歲-65歲)'!A41&gt;=20,'試算表(16歲-65歲)'!A41&lt;=29),0,
VLOOKUP("P"&amp;REPT("0",2-LEN(商品年期))&amp;商品年期&amp;"S"&amp;"1"&amp;"A"&amp;REPT("0",2-LEN(A41))&amp;A41,INDIRECT(主約費率表),6,FALSE)*$B$3)))</f>
        <v>39190</v>
      </c>
      <c r="C41" s="150">
        <f t="shared" si="17"/>
        <v>0</v>
      </c>
      <c r="D41" s="150">
        <f t="shared" si="18"/>
        <v>0</v>
      </c>
      <c r="E41" s="150">
        <f t="shared" si="19"/>
        <v>0</v>
      </c>
      <c r="F41" s="150">
        <f t="shared" si="20"/>
        <v>0</v>
      </c>
      <c r="G41" s="151">
        <f t="shared" si="21"/>
        <v>0</v>
      </c>
      <c r="H41" s="151" cm="1">
        <f t="array" ref="H41">IF(OR(A41="",$H$3=0),0,IF(ISERROR($H$3),0,ROUND(INDEX(MT_NP,1,職業等級)+(MAX(0,MT保額-3)*INDEX(MT_NP,2,職業等級)),0)))</f>
        <v>0</v>
      </c>
      <c r="I41" s="150">
        <f t="shared" si="22"/>
        <v>0</v>
      </c>
      <c r="J41" s="150">
        <f t="shared" si="23"/>
        <v>0</v>
      </c>
      <c r="K41" s="150">
        <f t="shared" si="24"/>
        <v>0</v>
      </c>
      <c r="L41" s="150"/>
      <c r="M41" s="150"/>
      <c r="N41" s="152"/>
      <c r="O41" s="146">
        <f ca="1">IF(OR(A41="",$O$3=0),0,
IF(AND(OR($O$2="ASGNLB1",$O$2="ASGNLB2"),$O$3&gt;30,$A41&gt;49),0,
IF(AND(照護有術顯示判斷=2,'試算表(16歲-65歲)'!A41&gt;=20,'試算表(16歲-65歲)'!A41&lt;=29),0,
VLOOKUP("P"&amp;REPT("0",2-LEN(商品年期))&amp;商品年期&amp;"S"&amp;"2"&amp;"A"&amp;REPT("0",2-LEN(A41))&amp;A41,INDIRECT(主約費率表),6,FALSE)*$O$3)))</f>
        <v>31710</v>
      </c>
      <c r="P41" s="146">
        <f t="shared" si="25"/>
        <v>0</v>
      </c>
      <c r="Q41" s="146">
        <f t="shared" si="26"/>
        <v>0</v>
      </c>
      <c r="R41" s="146">
        <f t="shared" si="27"/>
        <v>0</v>
      </c>
      <c r="S41" s="146">
        <f t="shared" si="28"/>
        <v>0</v>
      </c>
      <c r="T41" s="146">
        <f t="shared" si="29"/>
        <v>0</v>
      </c>
      <c r="U41" s="146" cm="1">
        <f t="array" ref="U41">IF(OR(A41="",$U$3=0),0,IF(ISERROR($U$3),0,ROUND(INDEX(MT_NP,1,職業等級)+(MAX(0,MT保額-3)*INDEX(MT_NP,2,職業等級)),0)))</f>
        <v>0</v>
      </c>
      <c r="V41" s="146">
        <f t="shared" si="30"/>
        <v>0</v>
      </c>
      <c r="W41" s="146">
        <f t="shared" si="31"/>
        <v>0</v>
      </c>
      <c r="X41" s="146">
        <f t="shared" si="32"/>
        <v>0</v>
      </c>
      <c r="Y41" s="146"/>
      <c r="Z41" s="146"/>
      <c r="AA41" s="153"/>
    </row>
    <row r="42" spans="1:27">
      <c r="A42" s="149">
        <f t="shared" si="33"/>
        <v>54</v>
      </c>
      <c r="B42" s="150" cm="1">
        <f t="array" aca="1" ref="B42" ca="1">IF(OR(A42="",$B$3=0),0,
IF(AND(OR($B$2="ASGNLB1",$B$2="ASGNLB2"),$B$3&gt;30,$A42&gt;49),0,
IF(AND(照護有術顯示判斷=2,'試算表(16歲-65歲)'!A42&gt;=20,'試算表(16歲-65歲)'!A42&lt;=29),0,
VLOOKUP("P"&amp;REPT("0",2-LEN(商品年期))&amp;商品年期&amp;"S"&amp;"1"&amp;"A"&amp;REPT("0",2-LEN(A42))&amp;A42,INDIRECT(主約費率表),6,FALSE)*$B$3)))</f>
        <v>40830</v>
      </c>
      <c r="C42" s="150">
        <f t="shared" si="17"/>
        <v>0</v>
      </c>
      <c r="D42" s="150">
        <f t="shared" si="18"/>
        <v>0</v>
      </c>
      <c r="E42" s="150">
        <f t="shared" si="19"/>
        <v>0</v>
      </c>
      <c r="F42" s="150">
        <f t="shared" si="20"/>
        <v>0</v>
      </c>
      <c r="G42" s="151">
        <f t="shared" si="21"/>
        <v>0</v>
      </c>
      <c r="H42" s="151" cm="1">
        <f t="array" ref="H42">IF(OR(A42="",$H$3=0),0,IF(ISERROR($H$3),0,ROUND(INDEX(MT_NP,1,職業等級)+(MAX(0,MT保額-3)*INDEX(MT_NP,2,職業等級)),0)))</f>
        <v>0</v>
      </c>
      <c r="I42" s="150">
        <f t="shared" si="22"/>
        <v>0</v>
      </c>
      <c r="J42" s="150">
        <f t="shared" si="23"/>
        <v>0</v>
      </c>
      <c r="K42" s="150">
        <f t="shared" si="24"/>
        <v>0</v>
      </c>
      <c r="L42" s="150"/>
      <c r="M42" s="150"/>
      <c r="N42" s="152"/>
      <c r="O42" s="146">
        <f ca="1">IF(OR(A42="",$O$3=0),0,
IF(AND(OR($O$2="ASGNLB1",$O$2="ASGNLB2"),$O$3&gt;30,$A42&gt;49),0,
IF(AND(照護有術顯示判斷=2,'試算表(16歲-65歲)'!A42&gt;=20,'試算表(16歲-65歲)'!A42&lt;=29),0,
VLOOKUP("P"&amp;REPT("0",2-LEN(商品年期))&amp;商品年期&amp;"S"&amp;"2"&amp;"A"&amp;REPT("0",2-LEN(A42))&amp;A42,INDIRECT(主約費率表),6,FALSE)*$O$3)))</f>
        <v>32860</v>
      </c>
      <c r="P42" s="146">
        <f t="shared" si="25"/>
        <v>0</v>
      </c>
      <c r="Q42" s="146">
        <f t="shared" si="26"/>
        <v>0</v>
      </c>
      <c r="R42" s="146">
        <f t="shared" si="27"/>
        <v>0</v>
      </c>
      <c r="S42" s="146">
        <f t="shared" si="28"/>
        <v>0</v>
      </c>
      <c r="T42" s="146">
        <f t="shared" si="29"/>
        <v>0</v>
      </c>
      <c r="U42" s="146" cm="1">
        <f t="array" ref="U42">IF(OR(A42="",$U$3=0),0,IF(ISERROR($U$3),0,ROUND(INDEX(MT_NP,1,職業等級)+(MAX(0,MT保額-3)*INDEX(MT_NP,2,職業等級)),0)))</f>
        <v>0</v>
      </c>
      <c r="V42" s="146">
        <f t="shared" si="30"/>
        <v>0</v>
      </c>
      <c r="W42" s="146">
        <f t="shared" si="31"/>
        <v>0</v>
      </c>
      <c r="X42" s="146">
        <f t="shared" si="32"/>
        <v>0</v>
      </c>
      <c r="Y42" s="146"/>
      <c r="Z42" s="146"/>
      <c r="AA42" s="153"/>
    </row>
    <row r="43" spans="1:27">
      <c r="A43" s="149">
        <f t="shared" si="33"/>
        <v>55</v>
      </c>
      <c r="B43" s="150" cm="1">
        <f t="array" aca="1" ref="B43" ca="1">IF(OR(A43="",$B$3=0),0,
IF(AND(OR($B$2="ASGNLB1",$B$2="ASGNLB2"),$B$3&gt;30,$A43&gt;49),0,
IF(AND(照護有術顯示判斷=2,'試算表(16歲-65歲)'!A43&gt;=20,'試算表(16歲-65歲)'!A43&lt;=29),0,
VLOOKUP("P"&amp;REPT("0",2-LEN(商品年期))&amp;商品年期&amp;"S"&amp;"1"&amp;"A"&amp;REPT("0",2-LEN(A43))&amp;A43,INDIRECT(主約費率表),6,FALSE)*$B$3)))</f>
        <v>42620</v>
      </c>
      <c r="C43" s="150">
        <f t="shared" si="17"/>
        <v>0</v>
      </c>
      <c r="D43" s="150">
        <f t="shared" si="18"/>
        <v>0</v>
      </c>
      <c r="E43" s="150">
        <f t="shared" si="19"/>
        <v>0</v>
      </c>
      <c r="F43" s="150">
        <f t="shared" si="20"/>
        <v>0</v>
      </c>
      <c r="G43" s="151">
        <f t="shared" si="21"/>
        <v>0</v>
      </c>
      <c r="H43" s="151" cm="1">
        <f t="array" ref="H43">IF(OR(A43="",$H$3=0),0,IF(ISERROR($H$3),0,ROUND(INDEX(MT_NP,1,職業等級)+(MAX(0,MT保額-3)*INDEX(MT_NP,2,職業等級)),0)))</f>
        <v>0</v>
      </c>
      <c r="I43" s="150">
        <f t="shared" si="22"/>
        <v>0</v>
      </c>
      <c r="J43" s="150">
        <f t="shared" si="23"/>
        <v>0</v>
      </c>
      <c r="K43" s="150">
        <f t="shared" si="24"/>
        <v>0</v>
      </c>
      <c r="L43" s="150"/>
      <c r="M43" s="150"/>
      <c r="N43" s="152"/>
      <c r="O43" s="146">
        <f ca="1">IF(OR(A43="",$O$3=0),0,
IF(AND(OR($O$2="ASGNLB1",$O$2="ASGNLB2"),$O$3&gt;30,$A43&gt;49),0,
IF(AND(照護有術顯示判斷=2,'試算表(16歲-65歲)'!A43&gt;=20,'試算表(16歲-65歲)'!A43&lt;=29),0,
VLOOKUP("P"&amp;REPT("0",2-LEN(商品年期))&amp;商品年期&amp;"S"&amp;"2"&amp;"A"&amp;REPT("0",2-LEN(A43))&amp;A43,INDIRECT(主約費率表),6,FALSE)*$O$3)))</f>
        <v>34120</v>
      </c>
      <c r="P43" s="146">
        <f t="shared" si="25"/>
        <v>0</v>
      </c>
      <c r="Q43" s="146">
        <f t="shared" si="26"/>
        <v>0</v>
      </c>
      <c r="R43" s="146">
        <f t="shared" si="27"/>
        <v>0</v>
      </c>
      <c r="S43" s="146">
        <f t="shared" si="28"/>
        <v>0</v>
      </c>
      <c r="T43" s="146">
        <f t="shared" si="29"/>
        <v>0</v>
      </c>
      <c r="U43" s="146" cm="1">
        <f t="array" ref="U43">IF(OR(A43="",$U$3=0),0,IF(ISERROR($U$3),0,ROUND(INDEX(MT_NP,1,職業等級)+(MAX(0,MT保額-3)*INDEX(MT_NP,2,職業等級)),0)))</f>
        <v>0</v>
      </c>
      <c r="V43" s="146">
        <f t="shared" si="30"/>
        <v>0</v>
      </c>
      <c r="W43" s="146">
        <f t="shared" si="31"/>
        <v>0</v>
      </c>
      <c r="X43" s="146">
        <f t="shared" si="32"/>
        <v>0</v>
      </c>
      <c r="Y43" s="146"/>
      <c r="Z43" s="146"/>
      <c r="AA43" s="153"/>
    </row>
    <row r="44" spans="1:27">
      <c r="A44" s="149">
        <f t="shared" si="33"/>
        <v>56</v>
      </c>
      <c r="B44" s="150" cm="1">
        <f t="array" aca="1" ref="B44" ca="1">IF(OR(A44="",$B$3=0),0,
IF(AND(OR($B$2="ASGNLB1",$B$2="ASGNLB2"),$B$3&gt;30,$A44&gt;49),0,
IF(AND(照護有術顯示判斷=2,'試算表(16歲-65歲)'!A44&gt;=20,'試算表(16歲-65歲)'!A44&lt;=29),0,
VLOOKUP("P"&amp;REPT("0",2-LEN(商品年期))&amp;商品年期&amp;"S"&amp;"1"&amp;"A"&amp;REPT("0",2-LEN(A44))&amp;A44,INDIRECT(主約費率表),6,FALSE)*$B$3)))</f>
        <v>44570</v>
      </c>
      <c r="C44" s="150">
        <f t="shared" si="17"/>
        <v>0</v>
      </c>
      <c r="D44" s="150">
        <f t="shared" si="18"/>
        <v>0</v>
      </c>
      <c r="E44" s="150">
        <f t="shared" si="19"/>
        <v>0</v>
      </c>
      <c r="F44" s="150">
        <f t="shared" si="20"/>
        <v>0</v>
      </c>
      <c r="G44" s="151">
        <f t="shared" si="21"/>
        <v>0</v>
      </c>
      <c r="H44" s="151" cm="1">
        <f t="array" ref="H44">IF(OR(A44="",$H$3=0),0,IF(ISERROR($H$3),0,ROUND(INDEX(MT_NP,1,職業等級)+(MAX(0,MT保額-3)*INDEX(MT_NP,2,職業等級)),0)))</f>
        <v>0</v>
      </c>
      <c r="I44" s="150">
        <f t="shared" si="22"/>
        <v>0</v>
      </c>
      <c r="J44" s="150">
        <f t="shared" si="23"/>
        <v>0</v>
      </c>
      <c r="K44" s="150">
        <f t="shared" si="24"/>
        <v>0</v>
      </c>
      <c r="L44" s="150"/>
      <c r="M44" s="150"/>
      <c r="N44" s="152"/>
      <c r="O44" s="146">
        <f ca="1">IF(OR(A44="",$O$3=0),0,
IF(AND(OR($O$2="ASGNLB1",$O$2="ASGNLB2"),$O$3&gt;30,$A44&gt;49),0,
IF(AND(照護有術顯示判斷=2,'試算表(16歲-65歲)'!A44&gt;=20,'試算表(16歲-65歲)'!A44&lt;=29),0,
VLOOKUP("P"&amp;REPT("0",2-LEN(商品年期))&amp;商品年期&amp;"S"&amp;"2"&amp;"A"&amp;REPT("0",2-LEN(A44))&amp;A44,INDIRECT(主約費率表),6,FALSE)*$O$3)))</f>
        <v>35500</v>
      </c>
      <c r="P44" s="146">
        <f t="shared" si="25"/>
        <v>0</v>
      </c>
      <c r="Q44" s="146">
        <f t="shared" si="26"/>
        <v>0</v>
      </c>
      <c r="R44" s="146">
        <f t="shared" si="27"/>
        <v>0</v>
      </c>
      <c r="S44" s="146">
        <f t="shared" si="28"/>
        <v>0</v>
      </c>
      <c r="T44" s="146">
        <f t="shared" si="29"/>
        <v>0</v>
      </c>
      <c r="U44" s="146" cm="1">
        <f t="array" ref="U44">IF(OR(A44="",$U$3=0),0,IF(ISERROR($U$3),0,ROUND(INDEX(MT_NP,1,職業等級)+(MAX(0,MT保額-3)*INDEX(MT_NP,2,職業等級)),0)))</f>
        <v>0</v>
      </c>
      <c r="V44" s="146">
        <f t="shared" si="30"/>
        <v>0</v>
      </c>
      <c r="W44" s="146">
        <f t="shared" si="31"/>
        <v>0</v>
      </c>
      <c r="X44" s="146">
        <f t="shared" si="32"/>
        <v>0</v>
      </c>
      <c r="Y44" s="146"/>
      <c r="Z44" s="146"/>
      <c r="AA44" s="153"/>
    </row>
    <row r="45" spans="1:27">
      <c r="A45" s="149">
        <f t="shared" si="33"/>
        <v>57</v>
      </c>
      <c r="B45" s="150" cm="1">
        <f t="array" aca="1" ref="B45" ca="1">IF(OR(A45="",$B$3=0),0,
IF(AND(OR($B$2="ASGNLB1",$B$2="ASGNLB2"),$B$3&gt;30,$A45&gt;49),0,
IF(AND(照護有術顯示判斷=2,'試算表(16歲-65歲)'!A45&gt;=20,'試算表(16歲-65歲)'!A45&lt;=29),0,
VLOOKUP("P"&amp;REPT("0",2-LEN(商品年期))&amp;商品年期&amp;"S"&amp;"1"&amp;"A"&amp;REPT("0",2-LEN(A45))&amp;A45,INDIRECT(主約費率表),6,FALSE)*$B$3)))</f>
        <v>46700</v>
      </c>
      <c r="C45" s="150">
        <f t="shared" si="17"/>
        <v>0</v>
      </c>
      <c r="D45" s="150">
        <f t="shared" si="18"/>
        <v>0</v>
      </c>
      <c r="E45" s="150">
        <f t="shared" si="19"/>
        <v>0</v>
      </c>
      <c r="F45" s="150">
        <f t="shared" si="20"/>
        <v>0</v>
      </c>
      <c r="G45" s="151">
        <f t="shared" si="21"/>
        <v>0</v>
      </c>
      <c r="H45" s="151" cm="1">
        <f t="array" ref="H45">IF(OR(A45="",$H$3=0),0,IF(ISERROR($H$3),0,ROUND(INDEX(MT_NP,1,職業等級)+(MAX(0,MT保額-3)*INDEX(MT_NP,2,職業等級)),0)))</f>
        <v>0</v>
      </c>
      <c r="I45" s="150">
        <f t="shared" si="22"/>
        <v>0</v>
      </c>
      <c r="J45" s="150">
        <f t="shared" si="23"/>
        <v>0</v>
      </c>
      <c r="K45" s="150">
        <f t="shared" si="24"/>
        <v>0</v>
      </c>
      <c r="L45" s="150"/>
      <c r="M45" s="150"/>
      <c r="N45" s="152"/>
      <c r="O45" s="146">
        <f ca="1">IF(OR(A45="",$O$3=0),0,
IF(AND(OR($O$2="ASGNLB1",$O$2="ASGNLB2"),$O$3&gt;30,$A45&gt;49),0,
IF(AND(照護有術顯示判斷=2,'試算表(16歲-65歲)'!A45&gt;=20,'試算表(16歲-65歲)'!A45&lt;=29),0,
VLOOKUP("P"&amp;REPT("0",2-LEN(商品年期))&amp;商品年期&amp;"S"&amp;"2"&amp;"A"&amp;REPT("0",2-LEN(A45))&amp;A45,INDIRECT(主約費率表),6,FALSE)*$O$3)))</f>
        <v>37010</v>
      </c>
      <c r="P45" s="146">
        <f t="shared" si="25"/>
        <v>0</v>
      </c>
      <c r="Q45" s="146">
        <f t="shared" si="26"/>
        <v>0</v>
      </c>
      <c r="R45" s="146">
        <f t="shared" si="27"/>
        <v>0</v>
      </c>
      <c r="S45" s="146">
        <f t="shared" si="28"/>
        <v>0</v>
      </c>
      <c r="T45" s="146">
        <f t="shared" si="29"/>
        <v>0</v>
      </c>
      <c r="U45" s="146" cm="1">
        <f t="array" ref="U45">IF(OR(A45="",$U$3=0),0,IF(ISERROR($U$3),0,ROUND(INDEX(MT_NP,1,職業等級)+(MAX(0,MT保額-3)*INDEX(MT_NP,2,職業等級)),0)))</f>
        <v>0</v>
      </c>
      <c r="V45" s="146">
        <f t="shared" si="30"/>
        <v>0</v>
      </c>
      <c r="W45" s="146">
        <f t="shared" si="31"/>
        <v>0</v>
      </c>
      <c r="X45" s="146">
        <f t="shared" si="32"/>
        <v>0</v>
      </c>
      <c r="Y45" s="146"/>
      <c r="Z45" s="146"/>
      <c r="AA45" s="153"/>
    </row>
    <row r="46" spans="1:27">
      <c r="A46" s="149">
        <f t="shared" si="33"/>
        <v>58</v>
      </c>
      <c r="B46" s="150" cm="1">
        <f t="array" aca="1" ref="B46" ca="1">IF(OR(A46="",$B$3=0),0,
IF(AND(OR($B$2="ASGNLB1",$B$2="ASGNLB2"),$B$3&gt;30,$A46&gt;49),0,
IF(AND(照護有術顯示判斷=2,'試算表(16歲-65歲)'!A46&gt;=20,'試算表(16歲-65歲)'!A46&lt;=29),0,
VLOOKUP("P"&amp;REPT("0",2-LEN(商品年期))&amp;商品年期&amp;"S"&amp;"1"&amp;"A"&amp;REPT("0",2-LEN(A46))&amp;A46,INDIRECT(主約費率表),6,FALSE)*$B$3)))</f>
        <v>49030</v>
      </c>
      <c r="C46" s="150">
        <f t="shared" si="17"/>
        <v>0</v>
      </c>
      <c r="D46" s="150">
        <f t="shared" si="18"/>
        <v>0</v>
      </c>
      <c r="E46" s="150">
        <f t="shared" si="19"/>
        <v>0</v>
      </c>
      <c r="F46" s="150">
        <f t="shared" si="20"/>
        <v>0</v>
      </c>
      <c r="G46" s="151">
        <f t="shared" si="21"/>
        <v>0</v>
      </c>
      <c r="H46" s="151" cm="1">
        <f t="array" ref="H46">IF(OR(A46="",$H$3=0),0,IF(ISERROR($H$3),0,ROUND(INDEX(MT_NP,1,職業等級)+(MAX(0,MT保額-3)*INDEX(MT_NP,2,職業等級)),0)))</f>
        <v>0</v>
      </c>
      <c r="I46" s="150">
        <f t="shared" si="22"/>
        <v>0</v>
      </c>
      <c r="J46" s="150">
        <f t="shared" si="23"/>
        <v>0</v>
      </c>
      <c r="K46" s="150">
        <f t="shared" si="24"/>
        <v>0</v>
      </c>
      <c r="L46" s="150"/>
      <c r="M46" s="150"/>
      <c r="N46" s="152"/>
      <c r="O46" s="146">
        <f ca="1">IF(OR(A46="",$O$3=0),0,
IF(AND(OR($O$2="ASGNLB1",$O$2="ASGNLB2"),$O$3&gt;30,$A46&gt;49),0,
IF(AND(照護有術顯示判斷=2,'試算表(16歲-65歲)'!A46&gt;=20,'試算表(16歲-65歲)'!A46&lt;=29),0,
VLOOKUP("P"&amp;REPT("0",2-LEN(商品年期))&amp;商品年期&amp;"S"&amp;"2"&amp;"A"&amp;REPT("0",2-LEN(A46))&amp;A46,INDIRECT(主約費率表),6,FALSE)*$O$3)))</f>
        <v>38660</v>
      </c>
      <c r="P46" s="146">
        <f t="shared" si="25"/>
        <v>0</v>
      </c>
      <c r="Q46" s="146">
        <f t="shared" si="26"/>
        <v>0</v>
      </c>
      <c r="R46" s="146">
        <f t="shared" si="27"/>
        <v>0</v>
      </c>
      <c r="S46" s="146">
        <f t="shared" si="28"/>
        <v>0</v>
      </c>
      <c r="T46" s="146">
        <f t="shared" si="29"/>
        <v>0</v>
      </c>
      <c r="U46" s="146" cm="1">
        <f t="array" ref="U46">IF(OR(A46="",$U$3=0),0,IF(ISERROR($U$3),0,ROUND(INDEX(MT_NP,1,職業等級)+(MAX(0,MT保額-3)*INDEX(MT_NP,2,職業等級)),0)))</f>
        <v>0</v>
      </c>
      <c r="V46" s="146">
        <f t="shared" si="30"/>
        <v>0</v>
      </c>
      <c r="W46" s="146">
        <f t="shared" si="31"/>
        <v>0</v>
      </c>
      <c r="X46" s="146">
        <f t="shared" si="32"/>
        <v>0</v>
      </c>
      <c r="Y46" s="146"/>
      <c r="Z46" s="146"/>
      <c r="AA46" s="153"/>
    </row>
    <row r="47" spans="1:27">
      <c r="A47" s="149">
        <f t="shared" si="33"/>
        <v>59</v>
      </c>
      <c r="B47" s="150" cm="1">
        <f t="array" aca="1" ref="B47" ca="1">IF(OR(A47="",$B$3=0),0,
IF(AND(OR($B$2="ASGNLB1",$B$2="ASGNLB2"),$B$3&gt;30,$A47&gt;49),0,
IF(AND(照護有術顯示判斷=2,'試算表(16歲-65歲)'!A47&gt;=20,'試算表(16歲-65歲)'!A47&lt;=29),0,
VLOOKUP("P"&amp;REPT("0",2-LEN(商品年期))&amp;商品年期&amp;"S"&amp;"1"&amp;"A"&amp;REPT("0",2-LEN(A47))&amp;A47,INDIRECT(主約費率表),6,FALSE)*$B$3)))</f>
        <v>51570</v>
      </c>
      <c r="C47" s="150">
        <f t="shared" si="17"/>
        <v>0</v>
      </c>
      <c r="D47" s="150">
        <f t="shared" si="18"/>
        <v>0</v>
      </c>
      <c r="E47" s="150">
        <f t="shared" si="19"/>
        <v>0</v>
      </c>
      <c r="F47" s="150">
        <f t="shared" si="20"/>
        <v>0</v>
      </c>
      <c r="G47" s="151">
        <f t="shared" si="21"/>
        <v>0</v>
      </c>
      <c r="H47" s="151" cm="1">
        <f t="array" ref="H47">IF(OR(A47="",$H$3=0),0,IF(ISERROR($H$3),0,ROUND(INDEX(MT_NP,1,職業等級)+(MAX(0,MT保額-3)*INDEX(MT_NP,2,職業等級)),0)))</f>
        <v>0</v>
      </c>
      <c r="I47" s="150">
        <f t="shared" si="22"/>
        <v>0</v>
      </c>
      <c r="J47" s="150">
        <f t="shared" si="23"/>
        <v>0</v>
      </c>
      <c r="K47" s="150">
        <f t="shared" si="24"/>
        <v>0</v>
      </c>
      <c r="L47" s="150"/>
      <c r="M47" s="150"/>
      <c r="N47" s="152"/>
      <c r="O47" s="146">
        <f ca="1">IF(OR(A47="",$O$3=0),0,
IF(AND(OR($O$2="ASGNLB1",$O$2="ASGNLB2"),$O$3&gt;30,$A47&gt;49),0,
IF(AND(照護有術顯示判斷=2,'試算表(16歲-65歲)'!A47&gt;=20,'試算表(16歲-65歲)'!A47&lt;=29),0,
VLOOKUP("P"&amp;REPT("0",2-LEN(商品年期))&amp;商品年期&amp;"S"&amp;"2"&amp;"A"&amp;REPT("0",2-LEN(A47))&amp;A47,INDIRECT(主約費率表),6,FALSE)*$O$3)))</f>
        <v>40670</v>
      </c>
      <c r="P47" s="146">
        <f t="shared" si="25"/>
        <v>0</v>
      </c>
      <c r="Q47" s="146">
        <f t="shared" si="26"/>
        <v>0</v>
      </c>
      <c r="R47" s="146">
        <f t="shared" si="27"/>
        <v>0</v>
      </c>
      <c r="S47" s="146">
        <f t="shared" si="28"/>
        <v>0</v>
      </c>
      <c r="T47" s="146">
        <f t="shared" si="29"/>
        <v>0</v>
      </c>
      <c r="U47" s="146" cm="1">
        <f t="array" ref="U47">IF(OR(A47="",$U$3=0),0,IF(ISERROR($U$3),0,ROUND(INDEX(MT_NP,1,職業等級)+(MAX(0,MT保額-3)*INDEX(MT_NP,2,職業等級)),0)))</f>
        <v>0</v>
      </c>
      <c r="V47" s="146">
        <f t="shared" si="30"/>
        <v>0</v>
      </c>
      <c r="W47" s="146">
        <f t="shared" si="31"/>
        <v>0</v>
      </c>
      <c r="X47" s="146">
        <f t="shared" si="32"/>
        <v>0</v>
      </c>
      <c r="Y47" s="146"/>
      <c r="Z47" s="146"/>
      <c r="AA47" s="153"/>
    </row>
    <row r="48" spans="1:27">
      <c r="A48" s="149">
        <f t="shared" si="33"/>
        <v>60</v>
      </c>
      <c r="B48" s="150" cm="1">
        <f t="array" aca="1" ref="B48" ca="1">IF(OR(A48="",$B$3=0),0,
IF(AND(OR($B$2="ASGNLB1",$B$2="ASGNLB2"),$B$3&gt;30,$A48&gt;49),0,
IF(AND(照護有術顯示判斷=2,'試算表(16歲-65歲)'!A48&gt;=20,'試算表(16歲-65歲)'!A48&lt;=29),0,
VLOOKUP("P"&amp;REPT("0",2-LEN(商品年期))&amp;商品年期&amp;"S"&amp;"1"&amp;"A"&amp;REPT("0",2-LEN(A48))&amp;A48,INDIRECT(主約費率表),6,FALSE)*$B$3)))</f>
        <v>55000</v>
      </c>
      <c r="C48" s="150">
        <f t="shared" si="17"/>
        <v>0</v>
      </c>
      <c r="D48" s="150">
        <f t="shared" si="18"/>
        <v>0</v>
      </c>
      <c r="E48" s="150">
        <f t="shared" si="19"/>
        <v>0</v>
      </c>
      <c r="F48" s="150">
        <f t="shared" si="20"/>
        <v>0</v>
      </c>
      <c r="G48" s="151">
        <f t="shared" si="21"/>
        <v>0</v>
      </c>
      <c r="H48" s="151" cm="1">
        <f t="array" ref="H48">IF(OR(A48="",$H$3=0),0,IF(ISERROR($H$3),0,ROUND(INDEX(MT_NP,1,職業等級)+(MAX(0,MT保額-3)*INDEX(MT_NP,2,職業等級)),0)))</f>
        <v>0</v>
      </c>
      <c r="I48" s="150">
        <f t="shared" si="22"/>
        <v>0</v>
      </c>
      <c r="J48" s="150">
        <f t="shared" si="23"/>
        <v>0</v>
      </c>
      <c r="K48" s="150">
        <f t="shared" si="24"/>
        <v>0</v>
      </c>
      <c r="L48" s="150"/>
      <c r="M48" s="150"/>
      <c r="N48" s="152"/>
      <c r="O48" s="146">
        <f ca="1">IF(OR(A48="",$O$3=0),0,
IF(AND(OR($O$2="ASGNLB1",$O$2="ASGNLB2"),$O$3&gt;30,$A48&gt;49),0,
IF(AND(照護有術顯示判斷=2,'試算表(16歲-65歲)'!A48&gt;=20,'試算表(16歲-65歲)'!A48&lt;=29),0,
VLOOKUP("P"&amp;REPT("0",2-LEN(商品年期))&amp;商品年期&amp;"S"&amp;"2"&amp;"A"&amp;REPT("0",2-LEN(A48))&amp;A48,INDIRECT(主約費率表),6,FALSE)*$O$3)))</f>
        <v>43000</v>
      </c>
      <c r="P48" s="146">
        <f t="shared" si="25"/>
        <v>0</v>
      </c>
      <c r="Q48" s="146">
        <f t="shared" si="26"/>
        <v>0</v>
      </c>
      <c r="R48" s="146">
        <f t="shared" si="27"/>
        <v>0</v>
      </c>
      <c r="S48" s="146">
        <f t="shared" si="28"/>
        <v>0</v>
      </c>
      <c r="T48" s="146">
        <f t="shared" si="29"/>
        <v>0</v>
      </c>
      <c r="U48" s="146" cm="1">
        <f t="array" ref="U48">IF(OR(A48="",$U$3=0),0,IF(ISERROR($U$3),0,ROUND(INDEX(MT_NP,1,職業等級)+(MAX(0,MT保額-3)*INDEX(MT_NP,2,職業等級)),0)))</f>
        <v>0</v>
      </c>
      <c r="V48" s="146">
        <f t="shared" si="30"/>
        <v>0</v>
      </c>
      <c r="W48" s="146">
        <f t="shared" si="31"/>
        <v>0</v>
      </c>
      <c r="X48" s="146">
        <f t="shared" si="32"/>
        <v>0</v>
      </c>
      <c r="Y48" s="146"/>
      <c r="Z48" s="146"/>
      <c r="AA48" s="153"/>
    </row>
    <row r="49" spans="1:27">
      <c r="A49" s="149" t="str">
        <f t="shared" si="33"/>
        <v/>
      </c>
      <c r="B49" s="150" cm="1">
        <f t="array" aca="1" ref="B49" ca="1">IF(OR(A49="",$B$3=0),0,
IF(AND(OR($B$2="ASGNLB1",$B$2="ASGNLB2"),$B$3&gt;30,$A49&gt;49),0,
IF(AND(照護有術顯示判斷=2,'試算表(16歲-65歲)'!A49&gt;=20,'試算表(16歲-65歲)'!A49&lt;=29),0,
VLOOKUP("P"&amp;REPT("0",2-LEN(商品年期))&amp;商品年期&amp;"S"&amp;"1"&amp;"A"&amp;REPT("0",2-LEN(A49))&amp;A49,INDIRECT(主約費率表),6,FALSE)*$B$3)))</f>
        <v>0</v>
      </c>
      <c r="C49" s="150">
        <f t="shared" si="17"/>
        <v>0</v>
      </c>
      <c r="D49" s="150">
        <f t="shared" si="18"/>
        <v>0</v>
      </c>
      <c r="E49" s="150">
        <f t="shared" si="19"/>
        <v>0</v>
      </c>
      <c r="F49" s="150">
        <f t="shared" si="20"/>
        <v>0</v>
      </c>
      <c r="G49" s="151">
        <f t="shared" si="21"/>
        <v>0</v>
      </c>
      <c r="H49" s="151" cm="1">
        <f t="array" ref="H49">IF(OR(A49="",$H$3=0),0,IF(ISERROR($H$3),0,ROUND(INDEX(MT_NP,1,職業等級)+(MAX(0,MT保額-3)*INDEX(MT_NP,2,職業等級)),0)))</f>
        <v>0</v>
      </c>
      <c r="I49" s="150">
        <f t="shared" si="22"/>
        <v>0</v>
      </c>
      <c r="J49" s="150">
        <f t="shared" si="23"/>
        <v>0</v>
      </c>
      <c r="K49" s="150">
        <f t="shared" si="24"/>
        <v>0</v>
      </c>
      <c r="L49" s="150"/>
      <c r="M49" s="150"/>
      <c r="N49" s="152"/>
      <c r="O49" s="146">
        <f ca="1">IF(OR(A49="",$O$3=0),0,
IF(AND(OR($O$2="ASGNLB1",$O$2="ASGNLB2"),$O$3&gt;30,$A49&gt;49),0,
IF(AND(照護有術顯示判斷=2,'試算表(16歲-65歲)'!A49&gt;=20,'試算表(16歲-65歲)'!A49&lt;=29),0,
VLOOKUP("P"&amp;REPT("0",2-LEN(商品年期))&amp;商品年期&amp;"S"&amp;"2"&amp;"A"&amp;REPT("0",2-LEN(A49))&amp;A49,INDIRECT(主約費率表),6,FALSE)*$O$3)))</f>
        <v>0</v>
      </c>
      <c r="P49" s="146">
        <f t="shared" si="25"/>
        <v>0</v>
      </c>
      <c r="Q49" s="146">
        <f t="shared" si="26"/>
        <v>0</v>
      </c>
      <c r="R49" s="146">
        <f t="shared" si="27"/>
        <v>0</v>
      </c>
      <c r="S49" s="146">
        <f t="shared" si="28"/>
        <v>0</v>
      </c>
      <c r="T49" s="146">
        <f t="shared" si="29"/>
        <v>0</v>
      </c>
      <c r="U49" s="146" cm="1">
        <f t="array" ref="U49">IF(OR(A49="",$U$3=0),0,IF(ISERROR($U$3),0,ROUND(INDEX(MT_NP,1,職業等級)+(MAX(0,MT保額-3)*INDEX(MT_NP,2,職業等級)),0)))</f>
        <v>0</v>
      </c>
      <c r="V49" s="146">
        <f t="shared" si="30"/>
        <v>0</v>
      </c>
      <c r="W49" s="146">
        <f t="shared" si="31"/>
        <v>0</v>
      </c>
      <c r="X49" s="146">
        <f t="shared" si="32"/>
        <v>0</v>
      </c>
      <c r="Y49" s="146"/>
      <c r="Z49" s="146"/>
      <c r="AA49" s="153"/>
    </row>
    <row r="50" spans="1:27">
      <c r="A50" s="149" t="str">
        <f t="shared" si="33"/>
        <v/>
      </c>
      <c r="B50" s="150" cm="1">
        <f t="array" aca="1" ref="B50" ca="1">IF(OR(A50="",$B$3=0),0,
IF(AND(OR($B$2="ASGNLB1",$B$2="ASGNLB2"),$B$3&gt;30,$A50&gt;49),0,
IF(AND(照護有術顯示判斷=2,'試算表(16歲-65歲)'!A50&gt;=20,'試算表(16歲-65歲)'!A50&lt;=29),0,
VLOOKUP("P"&amp;REPT("0",2-LEN(商品年期))&amp;商品年期&amp;"S"&amp;"1"&amp;"A"&amp;REPT("0",2-LEN(A50))&amp;A50,INDIRECT(主約費率表),6,FALSE)*$B$3)))</f>
        <v>0</v>
      </c>
      <c r="C50" s="150">
        <f t="shared" si="17"/>
        <v>0</v>
      </c>
      <c r="D50" s="150">
        <f t="shared" si="18"/>
        <v>0</v>
      </c>
      <c r="E50" s="150">
        <f t="shared" si="19"/>
        <v>0</v>
      </c>
      <c r="F50" s="150">
        <f t="shared" si="20"/>
        <v>0</v>
      </c>
      <c r="G50" s="151">
        <f t="shared" si="21"/>
        <v>0</v>
      </c>
      <c r="H50" s="151" cm="1">
        <f t="array" ref="H50">IF(OR(A50="",$H$3=0),0,IF(ISERROR($H$3),0,ROUND(INDEX(MT_NP,1,職業等級)+(MAX(0,MT保額-3)*INDEX(MT_NP,2,職業等級)),0)))</f>
        <v>0</v>
      </c>
      <c r="I50" s="150">
        <f t="shared" si="22"/>
        <v>0</v>
      </c>
      <c r="J50" s="150">
        <f t="shared" si="23"/>
        <v>0</v>
      </c>
      <c r="K50" s="150">
        <f t="shared" si="24"/>
        <v>0</v>
      </c>
      <c r="L50" s="150"/>
      <c r="M50" s="150"/>
      <c r="N50" s="152"/>
      <c r="O50" s="146">
        <f ca="1">IF(OR(A50="",$O$3=0),0,
IF(AND(OR($O$2="ASGNLB1",$O$2="ASGNLB2"),$O$3&gt;30,$A50&gt;49),0,
IF(AND(照護有術顯示判斷=2,'試算表(16歲-65歲)'!A50&gt;=20,'試算表(16歲-65歲)'!A50&lt;=29),0,
VLOOKUP("P"&amp;REPT("0",2-LEN(商品年期))&amp;商品年期&amp;"S"&amp;"2"&amp;"A"&amp;REPT("0",2-LEN(A50))&amp;A50,INDIRECT(主約費率表),6,FALSE)*$O$3)))</f>
        <v>0</v>
      </c>
      <c r="P50" s="146">
        <f t="shared" si="25"/>
        <v>0</v>
      </c>
      <c r="Q50" s="146">
        <f t="shared" si="26"/>
        <v>0</v>
      </c>
      <c r="R50" s="146">
        <f t="shared" si="27"/>
        <v>0</v>
      </c>
      <c r="S50" s="146">
        <f t="shared" si="28"/>
        <v>0</v>
      </c>
      <c r="T50" s="146">
        <f t="shared" si="29"/>
        <v>0</v>
      </c>
      <c r="U50" s="146" cm="1">
        <f t="array" ref="U50">IF(OR(A50="",$U$3=0),0,IF(ISERROR($U$3),0,ROUND(INDEX(MT_NP,1,職業等級)+(MAX(0,MT保額-3)*INDEX(MT_NP,2,職業等級)),0)))</f>
        <v>0</v>
      </c>
      <c r="V50" s="146">
        <f t="shared" si="30"/>
        <v>0</v>
      </c>
      <c r="W50" s="146">
        <f t="shared" si="31"/>
        <v>0</v>
      </c>
      <c r="X50" s="146">
        <f t="shared" si="32"/>
        <v>0</v>
      </c>
      <c r="Y50" s="146"/>
      <c r="Z50" s="146"/>
      <c r="AA50" s="153"/>
    </row>
    <row r="51" spans="1:27">
      <c r="A51" s="149" t="str">
        <f t="shared" si="33"/>
        <v/>
      </c>
      <c r="B51" s="150" cm="1">
        <f t="array" aca="1" ref="B51" ca="1">IF(OR(A51="",$B$3=0),0,
IF(AND(OR($B$2="ASGNLB1",$B$2="ASGNLB2"),$B$3&gt;30,$A51&gt;49),0,
IF(AND(照護有術顯示判斷=2,'試算表(16歲-65歲)'!A51&gt;=20,'試算表(16歲-65歲)'!A51&lt;=29),0,
VLOOKUP("P"&amp;REPT("0",2-LEN(商品年期))&amp;商品年期&amp;"S"&amp;"1"&amp;"A"&amp;REPT("0",2-LEN(A51))&amp;A51,INDIRECT(主約費率表),6,FALSE)*$B$3)))</f>
        <v>0</v>
      </c>
      <c r="C51" s="150">
        <f t="shared" si="17"/>
        <v>0</v>
      </c>
      <c r="D51" s="150">
        <f t="shared" si="18"/>
        <v>0</v>
      </c>
      <c r="E51" s="150">
        <f t="shared" si="19"/>
        <v>0</v>
      </c>
      <c r="F51" s="150">
        <f t="shared" si="20"/>
        <v>0</v>
      </c>
      <c r="G51" s="151">
        <f t="shared" si="21"/>
        <v>0</v>
      </c>
      <c r="H51" s="151" cm="1">
        <f t="array" ref="H51">IF(OR(A51="",$H$3=0),0,IF(ISERROR($H$3),0,ROUND(INDEX(MT_NP,1,職業等級)+(MAX(0,MT保額-3)*INDEX(MT_NP,2,職業等級)),0)))</f>
        <v>0</v>
      </c>
      <c r="I51" s="150">
        <f t="shared" si="22"/>
        <v>0</v>
      </c>
      <c r="J51" s="150">
        <f t="shared" si="23"/>
        <v>0</v>
      </c>
      <c r="K51" s="150">
        <f t="shared" si="24"/>
        <v>0</v>
      </c>
      <c r="L51" s="150"/>
      <c r="M51" s="150"/>
      <c r="N51" s="152"/>
      <c r="O51" s="146">
        <f ca="1">IF(OR(A51="",$O$3=0),0,
IF(AND(OR($O$2="ASGNLB1",$O$2="ASGNLB2"),$O$3&gt;30,$A51&gt;49),0,
IF(AND(照護有術顯示判斷=2,'試算表(16歲-65歲)'!A51&gt;=20,'試算表(16歲-65歲)'!A51&lt;=29),0,
VLOOKUP("P"&amp;REPT("0",2-LEN(商品年期))&amp;商品年期&amp;"S"&amp;"2"&amp;"A"&amp;REPT("0",2-LEN(A51))&amp;A51,INDIRECT(主約費率表),6,FALSE)*$O$3)))</f>
        <v>0</v>
      </c>
      <c r="P51" s="146">
        <f t="shared" si="25"/>
        <v>0</v>
      </c>
      <c r="Q51" s="146">
        <f t="shared" si="26"/>
        <v>0</v>
      </c>
      <c r="R51" s="146">
        <f t="shared" si="27"/>
        <v>0</v>
      </c>
      <c r="S51" s="146">
        <f t="shared" si="28"/>
        <v>0</v>
      </c>
      <c r="T51" s="146">
        <f t="shared" si="29"/>
        <v>0</v>
      </c>
      <c r="U51" s="146" cm="1">
        <f t="array" ref="U51">IF(OR(A51="",$U$3=0),0,IF(ISERROR($U$3),0,ROUND(INDEX(MT_NP,1,職業等級)+(MAX(0,MT保額-3)*INDEX(MT_NP,2,職業等級)),0)))</f>
        <v>0</v>
      </c>
      <c r="V51" s="146">
        <f t="shared" si="30"/>
        <v>0</v>
      </c>
      <c r="W51" s="146">
        <f t="shared" si="31"/>
        <v>0</v>
      </c>
      <c r="X51" s="146">
        <f t="shared" si="32"/>
        <v>0</v>
      </c>
      <c r="Y51" s="146"/>
      <c r="Z51" s="146"/>
      <c r="AA51" s="153"/>
    </row>
    <row r="52" spans="1:27">
      <c r="A52" s="149" t="str">
        <f t="shared" si="33"/>
        <v/>
      </c>
      <c r="B52" s="150" cm="1">
        <f t="array" aca="1" ref="B52" ca="1">IF(OR(A52="",$B$3=0),0,
IF(AND(OR($B$2="ASGNLB1",$B$2="ASGNLB2"),$B$3&gt;30,$A52&gt;49),0,
IF(AND(照護有術顯示判斷=2,'試算表(16歲-65歲)'!A52&gt;=20,'試算表(16歲-65歲)'!A52&lt;=29),0,
VLOOKUP("P"&amp;REPT("0",2-LEN(商品年期))&amp;商品年期&amp;"S"&amp;"1"&amp;"A"&amp;REPT("0",2-LEN(A52))&amp;A52,INDIRECT(主約費率表),6,FALSE)*$B$3)))</f>
        <v>0</v>
      </c>
      <c r="C52" s="150">
        <f t="shared" si="17"/>
        <v>0</v>
      </c>
      <c r="D52" s="150">
        <f t="shared" si="18"/>
        <v>0</v>
      </c>
      <c r="E52" s="150">
        <f t="shared" si="19"/>
        <v>0</v>
      </c>
      <c r="F52" s="150">
        <f t="shared" si="20"/>
        <v>0</v>
      </c>
      <c r="G52" s="151">
        <f t="shared" si="21"/>
        <v>0</v>
      </c>
      <c r="H52" s="151" cm="1">
        <f t="array" ref="H52">IF(OR(A52="",$H$3=0),0,IF(ISERROR($H$3),0,ROUND(INDEX(MT_NP,1,職業等級)+(MAX(0,MT保額-3)*INDEX(MT_NP,2,職業等級)),0)))</f>
        <v>0</v>
      </c>
      <c r="I52" s="150">
        <f t="shared" si="22"/>
        <v>0</v>
      </c>
      <c r="J52" s="150">
        <f t="shared" si="23"/>
        <v>0</v>
      </c>
      <c r="K52" s="150">
        <f t="shared" si="24"/>
        <v>0</v>
      </c>
      <c r="L52" s="150"/>
      <c r="M52" s="150"/>
      <c r="N52" s="152"/>
      <c r="O52" s="146">
        <f ca="1">IF(OR(A52="",$O$3=0),0,
IF(AND(OR($O$2="ASGNLB1",$O$2="ASGNLB2"),$O$3&gt;30,$A52&gt;49),0,
IF(AND(照護有術顯示判斷=2,'試算表(16歲-65歲)'!A52&gt;=20,'試算表(16歲-65歲)'!A52&lt;=29),0,
VLOOKUP("P"&amp;REPT("0",2-LEN(商品年期))&amp;商品年期&amp;"S"&amp;"2"&amp;"A"&amp;REPT("0",2-LEN(A52))&amp;A52,INDIRECT(主約費率表),6,FALSE)*$O$3)))</f>
        <v>0</v>
      </c>
      <c r="P52" s="146">
        <f t="shared" si="25"/>
        <v>0</v>
      </c>
      <c r="Q52" s="146">
        <f t="shared" si="26"/>
        <v>0</v>
      </c>
      <c r="R52" s="146">
        <f t="shared" si="27"/>
        <v>0</v>
      </c>
      <c r="S52" s="146">
        <f t="shared" si="28"/>
        <v>0</v>
      </c>
      <c r="T52" s="146">
        <f t="shared" si="29"/>
        <v>0</v>
      </c>
      <c r="U52" s="146" cm="1">
        <f t="array" ref="U52">IF(OR(A52="",$U$3=0),0,IF(ISERROR($U$3),0,ROUND(INDEX(MT_NP,1,職業等級)+(MAX(0,MT保額-3)*INDEX(MT_NP,2,職業等級)),0)))</f>
        <v>0</v>
      </c>
      <c r="V52" s="146">
        <f t="shared" si="30"/>
        <v>0</v>
      </c>
      <c r="W52" s="146">
        <f t="shared" si="31"/>
        <v>0</v>
      </c>
      <c r="X52" s="146">
        <f t="shared" si="32"/>
        <v>0</v>
      </c>
      <c r="Y52" s="146"/>
      <c r="Z52" s="146"/>
      <c r="AA52" s="153"/>
    </row>
    <row r="53" spans="1:27">
      <c r="A53" s="149" t="str">
        <f t="shared" si="33"/>
        <v/>
      </c>
      <c r="B53" s="150" cm="1">
        <f t="array" aca="1" ref="B53" ca="1">IF(OR(A53="",$B$3=0),0,
IF(AND(OR($B$2="ASGNLB1",$B$2="ASGNLB2"),$B$3&gt;30,$A53&gt;49),0,
IF(AND(照護有術顯示判斷=2,'試算表(16歲-65歲)'!A53&gt;=20,'試算表(16歲-65歲)'!A53&lt;=29),0,
VLOOKUP("P"&amp;REPT("0",2-LEN(商品年期))&amp;商品年期&amp;"S"&amp;"1"&amp;"A"&amp;REPT("0",2-LEN(A53))&amp;A53,INDIRECT(主約費率表),6,FALSE)*$B$3)))</f>
        <v>0</v>
      </c>
      <c r="C53" s="150">
        <f t="shared" si="17"/>
        <v>0</v>
      </c>
      <c r="D53" s="150">
        <f t="shared" si="18"/>
        <v>0</v>
      </c>
      <c r="E53" s="150">
        <f t="shared" si="19"/>
        <v>0</v>
      </c>
      <c r="F53" s="150">
        <f t="shared" si="20"/>
        <v>0</v>
      </c>
      <c r="G53" s="151">
        <f t="shared" si="21"/>
        <v>0</v>
      </c>
      <c r="H53" s="151" cm="1">
        <f t="array" ref="H53">IF(OR(A53="",$H$3=0),0,IF(ISERROR($H$3),0,ROUND(INDEX(MT_NP,1,職業等級)+(MAX(0,MT保額-3)*INDEX(MT_NP,2,職業等級)),0)))</f>
        <v>0</v>
      </c>
      <c r="I53" s="150">
        <f t="shared" si="22"/>
        <v>0</v>
      </c>
      <c r="J53" s="150">
        <f t="shared" si="23"/>
        <v>0</v>
      </c>
      <c r="K53" s="150">
        <f t="shared" si="24"/>
        <v>0</v>
      </c>
      <c r="L53" s="150"/>
      <c r="M53" s="150"/>
      <c r="N53" s="152"/>
      <c r="O53" s="146">
        <f ca="1">IF(OR(A53="",$O$3=0),0,
IF(AND(OR($O$2="ASGNLB1",$O$2="ASGNLB2"),$O$3&gt;30,$A53&gt;49),0,
IF(AND(照護有術顯示判斷=2,'試算表(16歲-65歲)'!A53&gt;=20,'試算表(16歲-65歲)'!A53&lt;=29),0,
VLOOKUP("P"&amp;REPT("0",2-LEN(商品年期))&amp;商品年期&amp;"S"&amp;"2"&amp;"A"&amp;REPT("0",2-LEN(A53))&amp;A53,INDIRECT(主約費率表),6,FALSE)*$O$3)))</f>
        <v>0</v>
      </c>
      <c r="P53" s="146">
        <f t="shared" si="25"/>
        <v>0</v>
      </c>
      <c r="Q53" s="146">
        <f t="shared" si="26"/>
        <v>0</v>
      </c>
      <c r="R53" s="146">
        <f t="shared" si="27"/>
        <v>0</v>
      </c>
      <c r="S53" s="146">
        <f t="shared" si="28"/>
        <v>0</v>
      </c>
      <c r="T53" s="146">
        <f t="shared" si="29"/>
        <v>0</v>
      </c>
      <c r="U53" s="146" cm="1">
        <f t="array" ref="U53">IF(OR(A53="",$U$3=0),0,IF(ISERROR($U$3),0,ROUND(INDEX(MT_NP,1,職業等級)+(MAX(0,MT保額-3)*INDEX(MT_NP,2,職業等級)),0)))</f>
        <v>0</v>
      </c>
      <c r="V53" s="146">
        <f t="shared" si="30"/>
        <v>0</v>
      </c>
      <c r="W53" s="146">
        <f t="shared" si="31"/>
        <v>0</v>
      </c>
      <c r="X53" s="146">
        <f t="shared" si="32"/>
        <v>0</v>
      </c>
      <c r="Y53" s="146"/>
      <c r="Z53" s="146"/>
      <c r="AA53" s="153"/>
    </row>
    <row r="54" spans="1:27">
      <c r="A54" s="149" t="str">
        <f t="shared" si="33"/>
        <v/>
      </c>
      <c r="B54" s="150" cm="1">
        <f t="array" aca="1" ref="B54" ca="1">IF(OR(A54="",$B$3=0),0,
IF(AND(OR($B$2="ASGNLB1",$B$2="ASGNLB2"),$B$3&gt;30,$A54&gt;49),0,
IF(AND(照護有術顯示判斷=2,'試算表(16歲-65歲)'!A54&gt;=20,'試算表(16歲-65歲)'!A54&lt;=29),0,
VLOOKUP("P"&amp;REPT("0",2-LEN(商品年期))&amp;商品年期&amp;"S"&amp;"1"&amp;"A"&amp;REPT("0",2-LEN(A54))&amp;A54,INDIRECT(主約費率表),6,FALSE)*$B$3)))</f>
        <v>0</v>
      </c>
      <c r="C54" s="150">
        <f t="shared" si="17"/>
        <v>0</v>
      </c>
      <c r="D54" s="150">
        <f t="shared" si="18"/>
        <v>0</v>
      </c>
      <c r="E54" s="150">
        <f t="shared" si="19"/>
        <v>0</v>
      </c>
      <c r="F54" s="150">
        <f t="shared" si="20"/>
        <v>0</v>
      </c>
      <c r="G54" s="151">
        <f t="shared" si="21"/>
        <v>0</v>
      </c>
      <c r="H54" s="151" cm="1">
        <f t="array" ref="H54">IF(OR(A54="",$H$3=0),0,IF(ISERROR($H$3),0,ROUND(INDEX(MT_NP,1,職業等級)+(MAX(0,MT保額-3)*INDEX(MT_NP,2,職業等級)),0)))</f>
        <v>0</v>
      </c>
      <c r="I54" s="150">
        <f t="shared" si="22"/>
        <v>0</v>
      </c>
      <c r="J54" s="150">
        <f t="shared" si="23"/>
        <v>0</v>
      </c>
      <c r="K54" s="150">
        <f t="shared" si="24"/>
        <v>0</v>
      </c>
      <c r="L54" s="150"/>
      <c r="M54" s="150"/>
      <c r="N54" s="152"/>
      <c r="O54" s="146">
        <f ca="1">IF(OR(A54="",$O$3=0),0,
IF(AND(OR($O$2="ASGNLB1",$O$2="ASGNLB2"),$O$3&gt;30,$A54&gt;49),0,
IF(AND(照護有術顯示判斷=2,'試算表(16歲-65歲)'!A54&gt;=20,'試算表(16歲-65歲)'!A54&lt;=29),0,
VLOOKUP("P"&amp;REPT("0",2-LEN(商品年期))&amp;商品年期&amp;"S"&amp;"2"&amp;"A"&amp;REPT("0",2-LEN(A54))&amp;A54,INDIRECT(主約費率表),6,FALSE)*$O$3)))</f>
        <v>0</v>
      </c>
      <c r="P54" s="146">
        <f t="shared" si="25"/>
        <v>0</v>
      </c>
      <c r="Q54" s="146">
        <f t="shared" si="26"/>
        <v>0</v>
      </c>
      <c r="R54" s="146">
        <f t="shared" si="27"/>
        <v>0</v>
      </c>
      <c r="S54" s="146">
        <f t="shared" si="28"/>
        <v>0</v>
      </c>
      <c r="T54" s="146">
        <f t="shared" si="29"/>
        <v>0</v>
      </c>
      <c r="U54" s="146" cm="1">
        <f t="array" ref="U54">IF(OR(A54="",$U$3=0),0,IF(ISERROR($U$3),0,ROUND(INDEX(MT_NP,1,職業等級)+(MAX(0,MT保額-3)*INDEX(MT_NP,2,職業等級)),0)))</f>
        <v>0</v>
      </c>
      <c r="V54" s="146">
        <f t="shared" si="30"/>
        <v>0</v>
      </c>
      <c r="W54" s="146">
        <f t="shared" si="31"/>
        <v>0</v>
      </c>
      <c r="X54" s="146">
        <f t="shared" si="32"/>
        <v>0</v>
      </c>
      <c r="Y54" s="146"/>
      <c r="Z54" s="146"/>
      <c r="AA54" s="153"/>
    </row>
    <row r="55" spans="1:27">
      <c r="A55" s="149" t="str">
        <f t="shared" si="33"/>
        <v/>
      </c>
      <c r="B55" s="150" cm="1">
        <f t="array" aca="1" ref="B55" ca="1">IF(OR(A55="",$B$3=0),0,
IF(AND(OR($B$2="ASGNLB1",$B$2="ASGNLB2"),$B$3&gt;30,$A55&gt;49),0,
IF(AND(照護有術顯示判斷=2,'試算表(16歲-65歲)'!A55&gt;=20,'試算表(16歲-65歲)'!A55&lt;=29),0,
VLOOKUP("P"&amp;REPT("0",2-LEN(商品年期))&amp;商品年期&amp;"S"&amp;"1"&amp;"A"&amp;REPT("0",2-LEN(A55))&amp;A55,INDIRECT(主約費率表),6,FALSE)*$B$3)))</f>
        <v>0</v>
      </c>
      <c r="C55" s="150">
        <f t="shared" si="17"/>
        <v>0</v>
      </c>
      <c r="D55" s="150">
        <f t="shared" si="18"/>
        <v>0</v>
      </c>
      <c r="E55" s="150">
        <f t="shared" si="19"/>
        <v>0</v>
      </c>
      <c r="F55" s="150">
        <f t="shared" si="20"/>
        <v>0</v>
      </c>
      <c r="G55" s="151">
        <f t="shared" si="21"/>
        <v>0</v>
      </c>
      <c r="H55" s="151" cm="1">
        <f t="array" ref="H55">IF(OR(A55="",$H$3=0),0,IF(ISERROR($H$3),0,ROUND(INDEX(MT_NP,1,職業等級)+(MAX(0,MT保額-3)*INDEX(MT_NP,2,職業等級)),0)))</f>
        <v>0</v>
      </c>
      <c r="I55" s="150">
        <f t="shared" si="22"/>
        <v>0</v>
      </c>
      <c r="J55" s="150">
        <f t="shared" si="23"/>
        <v>0</v>
      </c>
      <c r="K55" s="150">
        <f t="shared" si="24"/>
        <v>0</v>
      </c>
      <c r="L55" s="150"/>
      <c r="M55" s="150"/>
      <c r="N55" s="152"/>
      <c r="O55" s="146">
        <f ca="1">IF(OR(A55="",$O$3=0),0,
IF(AND(OR($O$2="ASGNLB1",$O$2="ASGNLB2"),$O$3&gt;30,$A55&gt;49),0,
IF(AND(照護有術顯示判斷=2,'試算表(16歲-65歲)'!A55&gt;=20,'試算表(16歲-65歲)'!A55&lt;=29),0,
VLOOKUP("P"&amp;REPT("0",2-LEN(商品年期))&amp;商品年期&amp;"S"&amp;"2"&amp;"A"&amp;REPT("0",2-LEN(A55))&amp;A55,INDIRECT(主約費率表),6,FALSE)*$O$3)))</f>
        <v>0</v>
      </c>
      <c r="P55" s="146">
        <f t="shared" si="25"/>
        <v>0</v>
      </c>
      <c r="Q55" s="146">
        <f t="shared" si="26"/>
        <v>0</v>
      </c>
      <c r="R55" s="146">
        <f t="shared" si="27"/>
        <v>0</v>
      </c>
      <c r="S55" s="146">
        <f t="shared" si="28"/>
        <v>0</v>
      </c>
      <c r="T55" s="146">
        <f t="shared" si="29"/>
        <v>0</v>
      </c>
      <c r="U55" s="146" cm="1">
        <f t="array" ref="U55">IF(OR(A55="",$U$3=0),0,IF(ISERROR($U$3),0,ROUND(INDEX(MT_NP,1,職業等級)+(MAX(0,MT保額-3)*INDEX(MT_NP,2,職業等級)),0)))</f>
        <v>0</v>
      </c>
      <c r="V55" s="146">
        <f t="shared" si="30"/>
        <v>0</v>
      </c>
      <c r="W55" s="146">
        <f t="shared" si="31"/>
        <v>0</v>
      </c>
      <c r="X55" s="146">
        <f t="shared" si="32"/>
        <v>0</v>
      </c>
      <c r="Y55" s="146"/>
      <c r="Z55" s="146"/>
      <c r="AA55" s="153"/>
    </row>
    <row r="56" spans="1:27">
      <c r="A56" s="149" t="str">
        <f t="shared" si="33"/>
        <v/>
      </c>
      <c r="B56" s="150" cm="1">
        <f t="array" aca="1" ref="B56" ca="1">IF(OR(A56="",$B$3=0),0,
IF(AND(OR($B$2="ASGNLB1",$B$2="ASGNLB2"),$B$3&gt;30,$A56&gt;49),0,
IF(AND(照護有術顯示判斷=2,'試算表(16歲-65歲)'!A56&gt;=20,'試算表(16歲-65歲)'!A56&lt;=29),0,
VLOOKUP("P"&amp;REPT("0",2-LEN(商品年期))&amp;商品年期&amp;"S"&amp;"1"&amp;"A"&amp;REPT("0",2-LEN(A56))&amp;A56,INDIRECT(主約費率表),6,FALSE)*$B$3)))</f>
        <v>0</v>
      </c>
      <c r="C56" s="150">
        <f t="shared" si="17"/>
        <v>0</v>
      </c>
      <c r="D56" s="150">
        <f t="shared" si="18"/>
        <v>0</v>
      </c>
      <c r="E56" s="150">
        <f t="shared" si="19"/>
        <v>0</v>
      </c>
      <c r="F56" s="150">
        <f t="shared" si="20"/>
        <v>0</v>
      </c>
      <c r="G56" s="151">
        <f t="shared" si="21"/>
        <v>0</v>
      </c>
      <c r="H56" s="151" cm="1">
        <f t="array" ref="H56">IF(OR(A56="",$H$3=0),0,IF(ISERROR($H$3),0,ROUND(INDEX(MT_NP,1,職業等級)+(MAX(0,MT保額-3)*INDEX(MT_NP,2,職業等級)),0)))</f>
        <v>0</v>
      </c>
      <c r="I56" s="150">
        <f t="shared" si="22"/>
        <v>0</v>
      </c>
      <c r="J56" s="150">
        <f t="shared" si="23"/>
        <v>0</v>
      </c>
      <c r="K56" s="150">
        <f t="shared" si="24"/>
        <v>0</v>
      </c>
      <c r="L56" s="150"/>
      <c r="M56" s="150"/>
      <c r="N56" s="152"/>
      <c r="O56" s="146">
        <f ca="1">IF(OR(A56="",$O$3=0),0,
IF(AND(OR($O$2="ASGNLB1",$O$2="ASGNLB2"),$O$3&gt;30,$A56&gt;49),0,
IF(AND(照護有術顯示判斷=2,'試算表(16歲-65歲)'!A56&gt;=20,'試算表(16歲-65歲)'!A56&lt;=29),0,
VLOOKUP("P"&amp;REPT("0",2-LEN(商品年期))&amp;商品年期&amp;"S"&amp;"2"&amp;"A"&amp;REPT("0",2-LEN(A56))&amp;A56,INDIRECT(主約費率表),6,FALSE)*$O$3)))</f>
        <v>0</v>
      </c>
      <c r="P56" s="146">
        <f t="shared" si="25"/>
        <v>0</v>
      </c>
      <c r="Q56" s="146">
        <f t="shared" si="26"/>
        <v>0</v>
      </c>
      <c r="R56" s="146">
        <f t="shared" si="27"/>
        <v>0</v>
      </c>
      <c r="S56" s="146">
        <f t="shared" si="28"/>
        <v>0</v>
      </c>
      <c r="T56" s="146">
        <f t="shared" si="29"/>
        <v>0</v>
      </c>
      <c r="U56" s="146" cm="1">
        <f t="array" ref="U56">IF(OR(A56="",$U$3=0),0,IF(ISERROR($U$3),0,ROUND(INDEX(MT_NP,1,職業等級)+(MAX(0,MT保額-3)*INDEX(MT_NP,2,職業等級)),0)))</f>
        <v>0</v>
      </c>
      <c r="V56" s="146">
        <f t="shared" si="30"/>
        <v>0</v>
      </c>
      <c r="W56" s="146">
        <f t="shared" si="31"/>
        <v>0</v>
      </c>
      <c r="X56" s="146">
        <f t="shared" si="32"/>
        <v>0</v>
      </c>
      <c r="Y56" s="146"/>
      <c r="Z56" s="146"/>
      <c r="AA56" s="153"/>
    </row>
    <row r="57" spans="1:27">
      <c r="A57" s="149" t="str">
        <f t="shared" si="33"/>
        <v/>
      </c>
      <c r="B57" s="150" cm="1">
        <f t="array" aca="1" ref="B57" ca="1">IF(OR(A57="",$B$3=0),0,
IF(AND(OR($B$2="ASGNLB1",$B$2="ASGNLB2"),$B$3&gt;30,$A57&gt;49),0,
IF(AND(照護有術顯示判斷=2,'試算表(16歲-65歲)'!A57&gt;=20,'試算表(16歲-65歲)'!A57&lt;=29),0,
VLOOKUP("P"&amp;REPT("0",2-LEN(商品年期))&amp;商品年期&amp;"S"&amp;"1"&amp;"A"&amp;REPT("0",2-LEN(A57))&amp;A57,INDIRECT(主約費率表),6,FALSE)*$B$3)))</f>
        <v>0</v>
      </c>
      <c r="C57" s="150">
        <f t="shared" si="17"/>
        <v>0</v>
      </c>
      <c r="D57" s="150">
        <f t="shared" si="18"/>
        <v>0</v>
      </c>
      <c r="E57" s="150">
        <f t="shared" si="19"/>
        <v>0</v>
      </c>
      <c r="F57" s="150">
        <f t="shared" si="20"/>
        <v>0</v>
      </c>
      <c r="G57" s="151">
        <f t="shared" si="21"/>
        <v>0</v>
      </c>
      <c r="H57" s="151" cm="1">
        <f t="array" ref="H57">IF(OR(A57="",$H$3=0),0,IF(ISERROR($H$3),0,ROUND(INDEX(MT_NP,1,職業等級)+(MAX(0,MT保額-3)*INDEX(MT_NP,2,職業等級)),0)))</f>
        <v>0</v>
      </c>
      <c r="I57" s="150">
        <f t="shared" si="22"/>
        <v>0</v>
      </c>
      <c r="J57" s="150">
        <f t="shared" si="23"/>
        <v>0</v>
      </c>
      <c r="K57" s="150">
        <f t="shared" si="24"/>
        <v>0</v>
      </c>
      <c r="L57" s="150"/>
      <c r="M57" s="150"/>
      <c r="N57" s="152"/>
      <c r="O57" s="146">
        <f ca="1">IF(OR(A57="",$O$3=0),0,
IF(AND(OR($O$2="ASGNLB1",$O$2="ASGNLB2"),$O$3&gt;30,$A57&gt;49),0,
IF(AND(照護有術顯示判斷=2,'試算表(16歲-65歲)'!A57&gt;=20,'試算表(16歲-65歲)'!A57&lt;=29),0,
VLOOKUP("P"&amp;REPT("0",2-LEN(商品年期))&amp;商品年期&amp;"S"&amp;"2"&amp;"A"&amp;REPT("0",2-LEN(A57))&amp;A57,INDIRECT(主約費率表),6,FALSE)*$O$3)))</f>
        <v>0</v>
      </c>
      <c r="P57" s="146">
        <f t="shared" si="25"/>
        <v>0</v>
      </c>
      <c r="Q57" s="146">
        <f t="shared" si="26"/>
        <v>0</v>
      </c>
      <c r="R57" s="146">
        <f t="shared" si="27"/>
        <v>0</v>
      </c>
      <c r="S57" s="146">
        <f t="shared" si="28"/>
        <v>0</v>
      </c>
      <c r="T57" s="146">
        <f t="shared" si="29"/>
        <v>0</v>
      </c>
      <c r="U57" s="146" cm="1">
        <f t="array" ref="U57">IF(OR(A57="",$U$3=0),0,IF(ISERROR($U$3),0,ROUND(INDEX(MT_NP,1,職業等級)+(MAX(0,MT保額-3)*INDEX(MT_NP,2,職業等級)),0)))</f>
        <v>0</v>
      </c>
      <c r="V57" s="146">
        <f t="shared" si="30"/>
        <v>0</v>
      </c>
      <c r="W57" s="146">
        <f t="shared" si="31"/>
        <v>0</v>
      </c>
      <c r="X57" s="146">
        <f t="shared" si="32"/>
        <v>0</v>
      </c>
      <c r="Y57" s="146"/>
      <c r="Z57" s="146"/>
      <c r="AA57" s="153"/>
    </row>
    <row r="58" spans="1:27">
      <c r="A58" s="149" t="str">
        <f t="shared" si="33"/>
        <v/>
      </c>
      <c r="B58" s="150" cm="1">
        <f t="array" aca="1" ref="B58" ca="1">IF(OR(A58="",$B$3=0),0,
IF(AND(OR($B$2="ASGNLB1",$B$2="ASGNLB2"),$B$3&gt;30,$A58&gt;49),0,
IF(AND(照護有術顯示判斷=2,'試算表(16歲-65歲)'!A58&gt;=20,'試算表(16歲-65歲)'!A58&lt;=29),0,
VLOOKUP("P"&amp;REPT("0",2-LEN(商品年期))&amp;商品年期&amp;"S"&amp;"1"&amp;"A"&amp;REPT("0",2-LEN(A58))&amp;A58,INDIRECT(主約費率表),6,FALSE)*$B$3)))</f>
        <v>0</v>
      </c>
      <c r="C58" s="150">
        <f t="shared" si="17"/>
        <v>0</v>
      </c>
      <c r="D58" s="150">
        <f t="shared" si="18"/>
        <v>0</v>
      </c>
      <c r="E58" s="150">
        <f t="shared" si="19"/>
        <v>0</v>
      </c>
      <c r="F58" s="150">
        <f t="shared" si="20"/>
        <v>0</v>
      </c>
      <c r="G58" s="151">
        <f t="shared" si="21"/>
        <v>0</v>
      </c>
      <c r="H58" s="151" cm="1">
        <f t="array" ref="H58">IF(OR(A58="",$H$3=0),0,IF(ISERROR($H$3),0,ROUND(INDEX(MT_NP,1,職業等級)+(MAX(0,MT保額-3)*INDEX(MT_NP,2,職業等級)),0)))</f>
        <v>0</v>
      </c>
      <c r="I58" s="150">
        <f t="shared" si="22"/>
        <v>0</v>
      </c>
      <c r="J58" s="150">
        <f t="shared" si="23"/>
        <v>0</v>
      </c>
      <c r="K58" s="150">
        <f t="shared" si="24"/>
        <v>0</v>
      </c>
      <c r="L58" s="150"/>
      <c r="M58" s="150"/>
      <c r="N58" s="152"/>
      <c r="O58" s="146">
        <f ca="1">IF(OR(A58="",$O$3=0),0,
IF(AND(OR($O$2="ASGNLB1",$O$2="ASGNLB2"),$O$3&gt;30,$A58&gt;49),0,
IF(AND(照護有術顯示判斷=2,'試算表(16歲-65歲)'!A58&gt;=20,'試算表(16歲-65歲)'!A58&lt;=29),0,
VLOOKUP("P"&amp;REPT("0",2-LEN(商品年期))&amp;商品年期&amp;"S"&amp;"2"&amp;"A"&amp;REPT("0",2-LEN(A58))&amp;A58,INDIRECT(主約費率表),6,FALSE)*$O$3)))</f>
        <v>0</v>
      </c>
      <c r="P58" s="146">
        <f t="shared" si="25"/>
        <v>0</v>
      </c>
      <c r="Q58" s="146">
        <f t="shared" si="26"/>
        <v>0</v>
      </c>
      <c r="R58" s="146">
        <f t="shared" si="27"/>
        <v>0</v>
      </c>
      <c r="S58" s="146">
        <f t="shared" si="28"/>
        <v>0</v>
      </c>
      <c r="T58" s="146">
        <f t="shared" si="29"/>
        <v>0</v>
      </c>
      <c r="U58" s="146" cm="1">
        <f t="array" ref="U58">IF(OR(A58="",$U$3=0),0,IF(ISERROR($U$3),0,ROUND(INDEX(MT_NP,1,職業等級)+(MAX(0,MT保額-3)*INDEX(MT_NP,2,職業等級)),0)))</f>
        <v>0</v>
      </c>
      <c r="V58" s="146">
        <f t="shared" si="30"/>
        <v>0</v>
      </c>
      <c r="W58" s="146">
        <f t="shared" si="31"/>
        <v>0</v>
      </c>
      <c r="X58" s="146">
        <f t="shared" si="32"/>
        <v>0</v>
      </c>
      <c r="Y58" s="146"/>
      <c r="Z58" s="146"/>
      <c r="AA58" s="153"/>
    </row>
    <row r="59" spans="1:27">
      <c r="A59" s="149" t="str">
        <f t="shared" si="33"/>
        <v/>
      </c>
      <c r="B59" s="150" cm="1">
        <f t="array" aca="1" ref="B59" ca="1">IF(OR(A59="",$B$3=0),0,
IF(AND(OR($B$2="ASGNLB1",$B$2="ASGNLB2"),$B$3&gt;30,$A59&gt;49),0,
IF(AND(照護有術顯示判斷=2,'試算表(16歲-65歲)'!A59&gt;=20,'試算表(16歲-65歲)'!A59&lt;=29),0,
VLOOKUP("P"&amp;REPT("0",2-LEN(商品年期))&amp;商品年期&amp;"S"&amp;"1"&amp;"A"&amp;REPT("0",2-LEN(A59))&amp;A59,INDIRECT(主約費率表),6,FALSE)*$B$3)))</f>
        <v>0</v>
      </c>
      <c r="C59" s="150">
        <f t="shared" si="17"/>
        <v>0</v>
      </c>
      <c r="D59" s="150">
        <f t="shared" si="18"/>
        <v>0</v>
      </c>
      <c r="E59" s="150">
        <f t="shared" si="19"/>
        <v>0</v>
      </c>
      <c r="F59" s="150">
        <f t="shared" si="20"/>
        <v>0</v>
      </c>
      <c r="G59" s="151">
        <f t="shared" si="21"/>
        <v>0</v>
      </c>
      <c r="H59" s="151" cm="1">
        <f t="array" ref="H59">IF(OR(A59="",$H$3=0),0,IF(ISERROR($H$3),0,ROUND(INDEX(MT_NP,1,職業等級)+(MAX(0,MT保額-3)*INDEX(MT_NP,2,職業等級)),0)))</f>
        <v>0</v>
      </c>
      <c r="I59" s="150">
        <f t="shared" si="22"/>
        <v>0</v>
      </c>
      <c r="J59" s="150">
        <f t="shared" si="23"/>
        <v>0</v>
      </c>
      <c r="K59" s="150">
        <f t="shared" si="24"/>
        <v>0</v>
      </c>
      <c r="L59" s="150"/>
      <c r="M59" s="150"/>
      <c r="N59" s="152"/>
      <c r="O59" s="146">
        <f ca="1">IF(OR(A59="",$O$3=0),0,
IF(AND(OR($O$2="ASGNLB1",$O$2="ASGNLB2"),$O$3&gt;30,$A59&gt;49),0,
IF(AND(照護有術顯示判斷=2,'試算表(16歲-65歲)'!A59&gt;=20,'試算表(16歲-65歲)'!A59&lt;=29),0,
VLOOKUP("P"&amp;REPT("0",2-LEN(商品年期))&amp;商品年期&amp;"S"&amp;"2"&amp;"A"&amp;REPT("0",2-LEN(A59))&amp;A59,INDIRECT(主約費率表),6,FALSE)*$O$3)))</f>
        <v>0</v>
      </c>
      <c r="P59" s="146">
        <f t="shared" si="25"/>
        <v>0</v>
      </c>
      <c r="Q59" s="146">
        <f t="shared" si="26"/>
        <v>0</v>
      </c>
      <c r="R59" s="146">
        <f t="shared" si="27"/>
        <v>0</v>
      </c>
      <c r="S59" s="146">
        <f t="shared" si="28"/>
        <v>0</v>
      </c>
      <c r="T59" s="146">
        <f t="shared" si="29"/>
        <v>0</v>
      </c>
      <c r="U59" s="146" cm="1">
        <f t="array" ref="U59">IF(OR(A59="",$U$3=0),0,IF(ISERROR($U$3),0,ROUND(INDEX(MT_NP,1,職業等級)+(MAX(0,MT保額-3)*INDEX(MT_NP,2,職業等級)),0)))</f>
        <v>0</v>
      </c>
      <c r="V59" s="146">
        <f t="shared" si="30"/>
        <v>0</v>
      </c>
      <c r="W59" s="146">
        <f t="shared" si="31"/>
        <v>0</v>
      </c>
      <c r="X59" s="146">
        <f t="shared" si="32"/>
        <v>0</v>
      </c>
      <c r="Y59" s="146"/>
      <c r="Z59" s="146"/>
      <c r="AA59" s="153"/>
    </row>
    <row r="60" spans="1:27">
      <c r="A60" s="149" t="str">
        <f t="shared" si="33"/>
        <v/>
      </c>
      <c r="B60" s="150" cm="1">
        <f t="array" aca="1" ref="B60" ca="1">IF(OR(A60="",$B$3=0),0,
IF(AND(OR($B$2="ASGNLB1",$B$2="ASGNLB2"),$B$3&gt;30,$A60&gt;49),0,
IF(AND(照護有術顯示判斷=2,'試算表(16歲-65歲)'!A60&gt;=20,'試算表(16歲-65歲)'!A60&lt;=29),0,
VLOOKUP("P"&amp;REPT("0",2-LEN(商品年期))&amp;商品年期&amp;"S"&amp;"1"&amp;"A"&amp;REPT("0",2-LEN(A60))&amp;A60,INDIRECT(主約費率表),6,FALSE)*$B$3)))</f>
        <v>0</v>
      </c>
      <c r="C60" s="150">
        <f t="shared" si="17"/>
        <v>0</v>
      </c>
      <c r="D60" s="150">
        <f t="shared" si="18"/>
        <v>0</v>
      </c>
      <c r="E60" s="150">
        <f t="shared" si="19"/>
        <v>0</v>
      </c>
      <c r="F60" s="150">
        <f t="shared" si="20"/>
        <v>0</v>
      </c>
      <c r="G60" s="151">
        <f t="shared" si="21"/>
        <v>0</v>
      </c>
      <c r="H60" s="151" cm="1">
        <f t="array" ref="H60">IF(OR(A60="",$H$3=0),0,IF(ISERROR($H$3),0,ROUND(INDEX(MT_NP,1,職業等級)+(MAX(0,MT保額-3)*INDEX(MT_NP,2,職業等級)),0)))</f>
        <v>0</v>
      </c>
      <c r="I60" s="150">
        <f t="shared" si="22"/>
        <v>0</v>
      </c>
      <c r="J60" s="150">
        <f t="shared" si="23"/>
        <v>0</v>
      </c>
      <c r="K60" s="150">
        <f t="shared" si="24"/>
        <v>0</v>
      </c>
      <c r="L60" s="150"/>
      <c r="M60" s="150"/>
      <c r="N60" s="152"/>
      <c r="O60" s="146">
        <f ca="1">IF(OR(A60="",$O$3=0),0,
IF(AND(OR($O$2="ASGNLB1",$O$2="ASGNLB2"),$O$3&gt;30,$A60&gt;49),0,
IF(AND(照護有術顯示判斷=2,'試算表(16歲-65歲)'!A60&gt;=20,'試算表(16歲-65歲)'!A60&lt;=29),0,
VLOOKUP("P"&amp;REPT("0",2-LEN(商品年期))&amp;商品年期&amp;"S"&amp;"2"&amp;"A"&amp;REPT("0",2-LEN(A60))&amp;A60,INDIRECT(主約費率表),6,FALSE)*$O$3)))</f>
        <v>0</v>
      </c>
      <c r="P60" s="146">
        <f t="shared" si="25"/>
        <v>0</v>
      </c>
      <c r="Q60" s="146">
        <f t="shared" si="26"/>
        <v>0</v>
      </c>
      <c r="R60" s="146">
        <f t="shared" si="27"/>
        <v>0</v>
      </c>
      <c r="S60" s="146">
        <f t="shared" si="28"/>
        <v>0</v>
      </c>
      <c r="T60" s="146">
        <f t="shared" si="29"/>
        <v>0</v>
      </c>
      <c r="U60" s="146" cm="1">
        <f t="array" ref="U60">IF(OR(A60="",$U$3=0),0,IF(ISERROR($U$3),0,ROUND(INDEX(MT_NP,1,職業等級)+(MAX(0,MT保額-3)*INDEX(MT_NP,2,職業等級)),0)))</f>
        <v>0</v>
      </c>
      <c r="V60" s="146">
        <f t="shared" si="30"/>
        <v>0</v>
      </c>
      <c r="W60" s="146">
        <f t="shared" si="31"/>
        <v>0</v>
      </c>
      <c r="X60" s="146">
        <f t="shared" si="32"/>
        <v>0</v>
      </c>
      <c r="Y60" s="146"/>
      <c r="Z60" s="146"/>
      <c r="AA60" s="153"/>
    </row>
    <row r="61" spans="1:27">
      <c r="A61" s="149" t="str">
        <f t="shared" si="33"/>
        <v/>
      </c>
      <c r="B61" s="150" cm="1">
        <f t="array" aca="1" ref="B61" ca="1">IF(OR(A61="",$B$3=0),0,
IF(AND(OR($B$2="ASGNLB1",$B$2="ASGNLB2"),$B$3&gt;30,$A61&gt;49),0,
IF(AND(照護有術顯示判斷=2,'試算表(16歲-65歲)'!A61&gt;=20,'試算表(16歲-65歲)'!A61&lt;=29),0,
VLOOKUP("P"&amp;REPT("0",2-LEN(商品年期))&amp;商品年期&amp;"S"&amp;"1"&amp;"A"&amp;REPT("0",2-LEN(A61))&amp;A61,INDIRECT(主約費率表),6,FALSE)*$B$3)))</f>
        <v>0</v>
      </c>
      <c r="C61" s="150">
        <f t="shared" si="17"/>
        <v>0</v>
      </c>
      <c r="D61" s="150">
        <f t="shared" si="18"/>
        <v>0</v>
      </c>
      <c r="E61" s="150">
        <f t="shared" si="19"/>
        <v>0</v>
      </c>
      <c r="F61" s="150">
        <f t="shared" si="20"/>
        <v>0</v>
      </c>
      <c r="G61" s="151">
        <f t="shared" si="21"/>
        <v>0</v>
      </c>
      <c r="H61" s="151" cm="1">
        <f t="array" ref="H61">IF(OR(A61="",$H$3=0),0,IF(ISERROR($H$3),0,ROUND(INDEX(MT_NP,1,職業等級)+(MAX(0,MT保額-3)*INDEX(MT_NP,2,職業等級)),0)))</f>
        <v>0</v>
      </c>
      <c r="I61" s="150">
        <f t="shared" si="22"/>
        <v>0</v>
      </c>
      <c r="J61" s="150">
        <f t="shared" si="23"/>
        <v>0</v>
      </c>
      <c r="K61" s="150">
        <f t="shared" si="24"/>
        <v>0</v>
      </c>
      <c r="L61" s="150"/>
      <c r="M61" s="150"/>
      <c r="N61" s="152"/>
      <c r="O61" s="146">
        <f ca="1">IF(OR(A61="",$O$3=0),0,
IF(AND(OR($O$2="ASGNLB1",$O$2="ASGNLB2"),$O$3&gt;30,$A61&gt;49),0,
IF(AND(照護有術顯示判斷=2,'試算表(16歲-65歲)'!A61&gt;=20,'試算表(16歲-65歲)'!A61&lt;=29),0,
VLOOKUP("P"&amp;REPT("0",2-LEN(商品年期))&amp;商品年期&amp;"S"&amp;"2"&amp;"A"&amp;REPT("0",2-LEN(A61))&amp;A61,INDIRECT(主約費率表),6,FALSE)*$O$3)))</f>
        <v>0</v>
      </c>
      <c r="P61" s="146">
        <f t="shared" si="25"/>
        <v>0</v>
      </c>
      <c r="Q61" s="146">
        <f t="shared" si="26"/>
        <v>0</v>
      </c>
      <c r="R61" s="146">
        <f t="shared" si="27"/>
        <v>0</v>
      </c>
      <c r="S61" s="146">
        <f t="shared" si="28"/>
        <v>0</v>
      </c>
      <c r="T61" s="146">
        <f t="shared" si="29"/>
        <v>0</v>
      </c>
      <c r="U61" s="146" cm="1">
        <f t="array" ref="U61">IF(OR(A61="",$U$3=0),0,IF(ISERROR($U$3),0,ROUND(INDEX(MT_NP,1,職業等級)+(MAX(0,MT保額-3)*INDEX(MT_NP,2,職業等級)),0)))</f>
        <v>0</v>
      </c>
      <c r="V61" s="146">
        <f t="shared" si="30"/>
        <v>0</v>
      </c>
      <c r="W61" s="146">
        <f t="shared" si="31"/>
        <v>0</v>
      </c>
      <c r="X61" s="146">
        <f t="shared" si="32"/>
        <v>0</v>
      </c>
      <c r="Y61" s="146"/>
      <c r="Z61" s="146"/>
      <c r="AA61" s="153"/>
    </row>
    <row r="62" spans="1:27">
      <c r="A62" s="149" t="str">
        <f t="shared" si="33"/>
        <v/>
      </c>
      <c r="B62" s="150" cm="1">
        <f t="array" aca="1" ref="B62" ca="1">IF(OR(A62="",$B$3=0),0,
IF(AND(OR($B$2="ASGNLB1",$B$2="ASGNLB2"),$B$3&gt;30,$A62&gt;49),0,
IF(AND(照護有術顯示判斷=2,'試算表(16歲-65歲)'!A62&gt;=20,'試算表(16歲-65歲)'!A62&lt;=29),0,
VLOOKUP("P"&amp;REPT("0",2-LEN(商品年期))&amp;商品年期&amp;"S"&amp;"1"&amp;"A"&amp;REPT("0",2-LEN(A62))&amp;A62,INDIRECT(主約費率表),6,FALSE)*$B$3)))</f>
        <v>0</v>
      </c>
      <c r="C62" s="150">
        <f t="shared" si="17"/>
        <v>0</v>
      </c>
      <c r="D62" s="150">
        <f t="shared" si="18"/>
        <v>0</v>
      </c>
      <c r="E62" s="150">
        <f t="shared" si="19"/>
        <v>0</v>
      </c>
      <c r="F62" s="150">
        <f t="shared" si="20"/>
        <v>0</v>
      </c>
      <c r="G62" s="151">
        <f t="shared" si="21"/>
        <v>0</v>
      </c>
      <c r="H62" s="151" cm="1">
        <f t="array" ref="H62">IF(OR(A62="",$H$3=0),0,IF(ISERROR($H$3),0,ROUND(INDEX(MT_NP,1,職業等級)+(MAX(0,MT保額-3)*INDEX(MT_NP,2,職業等級)),0)))</f>
        <v>0</v>
      </c>
      <c r="I62" s="150">
        <f t="shared" si="22"/>
        <v>0</v>
      </c>
      <c r="J62" s="150">
        <f t="shared" si="23"/>
        <v>0</v>
      </c>
      <c r="K62" s="150">
        <f t="shared" si="24"/>
        <v>0</v>
      </c>
      <c r="L62" s="150"/>
      <c r="M62" s="150"/>
      <c r="N62" s="152"/>
      <c r="O62" s="146">
        <f ca="1">IF(OR(A62="",$O$3=0),0,
IF(AND(OR($O$2="ASGNLB1",$O$2="ASGNLB2"),$O$3&gt;30,$A62&gt;49),0,
IF(AND(照護有術顯示判斷=2,'試算表(16歲-65歲)'!A62&gt;=20,'試算表(16歲-65歲)'!A62&lt;=29),0,
VLOOKUP("P"&amp;REPT("0",2-LEN(商品年期))&amp;商品年期&amp;"S"&amp;"2"&amp;"A"&amp;REPT("0",2-LEN(A62))&amp;A62,INDIRECT(主約費率表),6,FALSE)*$O$3)))</f>
        <v>0</v>
      </c>
      <c r="P62" s="146">
        <f t="shared" si="25"/>
        <v>0</v>
      </c>
      <c r="Q62" s="146">
        <f t="shared" si="26"/>
        <v>0</v>
      </c>
      <c r="R62" s="146">
        <f t="shared" si="27"/>
        <v>0</v>
      </c>
      <c r="S62" s="146">
        <f t="shared" si="28"/>
        <v>0</v>
      </c>
      <c r="T62" s="146">
        <f t="shared" si="29"/>
        <v>0</v>
      </c>
      <c r="U62" s="146" cm="1">
        <f t="array" ref="U62">IF(OR(A62="",$U$3=0),0,IF(ISERROR($U$3),0,ROUND(INDEX(MT_NP,1,職業等級)+(MAX(0,MT保額-3)*INDEX(MT_NP,2,職業等級)),0)))</f>
        <v>0</v>
      </c>
      <c r="V62" s="146">
        <f t="shared" si="30"/>
        <v>0</v>
      </c>
      <c r="W62" s="146">
        <f t="shared" si="31"/>
        <v>0</v>
      </c>
      <c r="X62" s="146">
        <f t="shared" si="32"/>
        <v>0</v>
      </c>
      <c r="Y62" s="146"/>
      <c r="Z62" s="146"/>
      <c r="AA62" s="153"/>
    </row>
    <row r="63" spans="1:27">
      <c r="A63" s="149" t="str">
        <f t="shared" si="33"/>
        <v/>
      </c>
      <c r="B63" s="150" cm="1">
        <f t="array" aca="1" ref="B63" ca="1">IF(OR(A63="",$B$3=0),0,
IF(AND(OR($B$2="ASGNLB1",$B$2="ASGNLB2"),$B$3&gt;30,$A63&gt;49),0,
IF(AND(照護有術顯示判斷=2,'試算表(16歲-65歲)'!A63&gt;=20,'試算表(16歲-65歲)'!A63&lt;=29),0,
VLOOKUP("P"&amp;REPT("0",2-LEN(商品年期))&amp;商品年期&amp;"S"&amp;"1"&amp;"A"&amp;REPT("0",2-LEN(A63))&amp;A63,INDIRECT(主約費率表),6,FALSE)*$B$3)))</f>
        <v>0</v>
      </c>
      <c r="C63" s="150">
        <f t="shared" si="17"/>
        <v>0</v>
      </c>
      <c r="D63" s="150">
        <f t="shared" si="18"/>
        <v>0</v>
      </c>
      <c r="E63" s="150">
        <f t="shared" si="19"/>
        <v>0</v>
      </c>
      <c r="F63" s="150">
        <f t="shared" si="20"/>
        <v>0</v>
      </c>
      <c r="G63" s="151">
        <f t="shared" si="21"/>
        <v>0</v>
      </c>
      <c r="H63" s="151" cm="1">
        <f t="array" ref="H63">IF(OR(A63="",$H$3=0),0,IF(ISERROR($H$3),0,ROUND(INDEX(MT_NP,1,職業等級)+(MAX(0,MT保額-3)*INDEX(MT_NP,2,職業等級)),0)))</f>
        <v>0</v>
      </c>
      <c r="I63" s="150">
        <f t="shared" si="22"/>
        <v>0</v>
      </c>
      <c r="J63" s="150">
        <f t="shared" si="23"/>
        <v>0</v>
      </c>
      <c r="K63" s="150">
        <f t="shared" si="24"/>
        <v>0</v>
      </c>
      <c r="L63" s="150"/>
      <c r="M63" s="150"/>
      <c r="N63" s="152"/>
      <c r="O63" s="146">
        <f ca="1">IF(OR(A63="",$O$3=0),0,
IF(AND(OR($O$2="ASGNLB1",$O$2="ASGNLB2"),$O$3&gt;30,$A63&gt;49),0,
IF(AND(照護有術顯示判斷=2,'試算表(16歲-65歲)'!A63&gt;=20,'試算表(16歲-65歲)'!A63&lt;=29),0,
VLOOKUP("P"&amp;REPT("0",2-LEN(商品年期))&amp;商品年期&amp;"S"&amp;"2"&amp;"A"&amp;REPT("0",2-LEN(A63))&amp;A63,INDIRECT(主約費率表),6,FALSE)*$O$3)))</f>
        <v>0</v>
      </c>
      <c r="P63" s="146">
        <f t="shared" si="25"/>
        <v>0</v>
      </c>
      <c r="Q63" s="146">
        <f t="shared" si="26"/>
        <v>0</v>
      </c>
      <c r="R63" s="146">
        <f t="shared" si="27"/>
        <v>0</v>
      </c>
      <c r="S63" s="146">
        <f t="shared" si="28"/>
        <v>0</v>
      </c>
      <c r="T63" s="146">
        <f t="shared" si="29"/>
        <v>0</v>
      </c>
      <c r="U63" s="146" cm="1">
        <f t="array" ref="U63">IF(OR(A63="",$U$3=0),0,IF(ISERROR($U$3),0,ROUND(INDEX(MT_NP,1,職業等級)+(MAX(0,MT保額-3)*INDEX(MT_NP,2,職業等級)),0)))</f>
        <v>0</v>
      </c>
      <c r="V63" s="146">
        <f t="shared" si="30"/>
        <v>0</v>
      </c>
      <c r="W63" s="146">
        <f t="shared" si="31"/>
        <v>0</v>
      </c>
      <c r="X63" s="146">
        <f t="shared" si="32"/>
        <v>0</v>
      </c>
      <c r="Y63" s="146"/>
      <c r="Z63" s="146"/>
      <c r="AA63" s="153"/>
    </row>
    <row r="64" spans="1:27">
      <c r="A64" s="149" t="str">
        <f t="shared" si="33"/>
        <v/>
      </c>
      <c r="B64" s="150" cm="1">
        <f t="array" aca="1" ref="B64" ca="1">IF(OR(A64="",$B$3=0),0,
IF(AND(OR($B$2="ASGNLB1",$B$2="ASGNLB2"),$B$3&gt;30,$A64&gt;49),0,
IF(AND(照護有術顯示判斷=2,'試算表(16歲-65歲)'!A64&gt;=20,'試算表(16歲-65歲)'!A64&lt;=29),0,
VLOOKUP("P"&amp;REPT("0",2-LEN(商品年期))&amp;商品年期&amp;"S"&amp;"1"&amp;"A"&amp;REPT("0",2-LEN(A64))&amp;A64,INDIRECT(主約費率表),6,FALSE)*$B$3)))</f>
        <v>0</v>
      </c>
      <c r="C64" s="150">
        <f t="shared" si="17"/>
        <v>0</v>
      </c>
      <c r="D64" s="150">
        <f t="shared" si="18"/>
        <v>0</v>
      </c>
      <c r="E64" s="150">
        <f t="shared" si="19"/>
        <v>0</v>
      </c>
      <c r="F64" s="150">
        <f t="shared" si="20"/>
        <v>0</v>
      </c>
      <c r="G64" s="151">
        <f t="shared" si="21"/>
        <v>0</v>
      </c>
      <c r="H64" s="151" cm="1">
        <f t="array" ref="H64">IF(OR(A64="",$H$3=0),0,IF(ISERROR($H$3),0,ROUND(INDEX(MT_NP,1,職業等級)+(MAX(0,MT保額-3)*INDEX(MT_NP,2,職業等級)),0)))</f>
        <v>0</v>
      </c>
      <c r="I64" s="150">
        <f t="shared" si="22"/>
        <v>0</v>
      </c>
      <c r="J64" s="150">
        <f t="shared" si="23"/>
        <v>0</v>
      </c>
      <c r="K64" s="150">
        <f t="shared" si="24"/>
        <v>0</v>
      </c>
      <c r="L64" s="150"/>
      <c r="M64" s="150"/>
      <c r="N64" s="152"/>
      <c r="O64" s="146">
        <f ca="1">IF(OR(A64="",$O$3=0),0,
IF(AND(OR($O$2="ASGNLB1",$O$2="ASGNLB2"),$O$3&gt;30,$A64&gt;49),0,
IF(AND(照護有術顯示判斷=2,'試算表(16歲-65歲)'!A64&gt;=20,'試算表(16歲-65歲)'!A64&lt;=29),0,
VLOOKUP("P"&amp;REPT("0",2-LEN(商品年期))&amp;商品年期&amp;"S"&amp;"2"&amp;"A"&amp;REPT("0",2-LEN(A64))&amp;A64,INDIRECT(主約費率表),6,FALSE)*$O$3)))</f>
        <v>0</v>
      </c>
      <c r="P64" s="146">
        <f t="shared" si="25"/>
        <v>0</v>
      </c>
      <c r="Q64" s="146">
        <f t="shared" si="26"/>
        <v>0</v>
      </c>
      <c r="R64" s="146">
        <f t="shared" si="27"/>
        <v>0</v>
      </c>
      <c r="S64" s="146">
        <f t="shared" si="28"/>
        <v>0</v>
      </c>
      <c r="T64" s="146">
        <f t="shared" si="29"/>
        <v>0</v>
      </c>
      <c r="U64" s="146" cm="1">
        <f t="array" ref="U64">IF(OR(A64="",$U$3=0),0,IF(ISERROR($U$3),0,ROUND(INDEX(MT_NP,1,職業等級)+(MAX(0,MT保額-3)*INDEX(MT_NP,2,職業等級)),0)))</f>
        <v>0</v>
      </c>
      <c r="V64" s="146">
        <f t="shared" si="30"/>
        <v>0</v>
      </c>
      <c r="W64" s="146">
        <f t="shared" si="31"/>
        <v>0</v>
      </c>
      <c r="X64" s="146">
        <f t="shared" si="32"/>
        <v>0</v>
      </c>
      <c r="Y64" s="146"/>
      <c r="Z64" s="146"/>
      <c r="AA64" s="153"/>
    </row>
    <row r="65" spans="1:27">
      <c r="A65" s="149" t="str">
        <f t="shared" si="33"/>
        <v/>
      </c>
      <c r="B65" s="150" cm="1">
        <f t="array" aca="1" ref="B65" ca="1">IF(OR(A65="",$B$3=0),0,
IF(AND(OR($B$2="ASGNLB1",$B$2="ASGNLB2"),$B$3&gt;30,$A65&gt;49),0,
IF(AND(照護有術顯示判斷=2,'試算表(16歲-65歲)'!A65&gt;=20,'試算表(16歲-65歲)'!A65&lt;=29),0,
VLOOKUP("P"&amp;REPT("0",2-LEN(商品年期))&amp;商品年期&amp;"S"&amp;"1"&amp;"A"&amp;REPT("0",2-LEN(A65))&amp;A65,INDIRECT(主約費率表),6,FALSE)*$B$3)))</f>
        <v>0</v>
      </c>
      <c r="C65" s="150">
        <f t="shared" si="17"/>
        <v>0</v>
      </c>
      <c r="D65" s="150">
        <f t="shared" si="18"/>
        <v>0</v>
      </c>
      <c r="E65" s="150">
        <f t="shared" si="19"/>
        <v>0</v>
      </c>
      <c r="F65" s="150">
        <f t="shared" si="20"/>
        <v>0</v>
      </c>
      <c r="G65" s="151">
        <f t="shared" si="21"/>
        <v>0</v>
      </c>
      <c r="H65" s="151" cm="1">
        <f t="array" ref="H65">IF(OR(A65="",$H$3=0),0,IF(ISERROR($H$3),0,ROUND(INDEX(MT_NP,1,職業等級)+(MAX(0,MT保額-3)*INDEX(MT_NP,2,職業等級)),0)))</f>
        <v>0</v>
      </c>
      <c r="I65" s="150">
        <f t="shared" si="22"/>
        <v>0</v>
      </c>
      <c r="J65" s="150">
        <f t="shared" si="23"/>
        <v>0</v>
      </c>
      <c r="K65" s="150">
        <f t="shared" si="24"/>
        <v>0</v>
      </c>
      <c r="L65" s="150"/>
      <c r="M65" s="150"/>
      <c r="N65" s="152"/>
      <c r="O65" s="146">
        <f ca="1">IF(OR(A65="",$O$3=0),0,
IF(AND(OR($O$2="ASGNLB1",$O$2="ASGNLB2"),$O$3&gt;30,$A65&gt;49),0,
IF(AND(照護有術顯示判斷=2,'試算表(16歲-65歲)'!A65&gt;=20,'試算表(16歲-65歲)'!A65&lt;=29),0,
VLOOKUP("P"&amp;REPT("0",2-LEN(商品年期))&amp;商品年期&amp;"S"&amp;"2"&amp;"A"&amp;REPT("0",2-LEN(A65))&amp;A65,INDIRECT(主約費率表),6,FALSE)*$O$3)))</f>
        <v>0</v>
      </c>
      <c r="P65" s="146">
        <f t="shared" si="25"/>
        <v>0</v>
      </c>
      <c r="Q65" s="146">
        <f t="shared" si="26"/>
        <v>0</v>
      </c>
      <c r="R65" s="146">
        <f t="shared" si="27"/>
        <v>0</v>
      </c>
      <c r="S65" s="146">
        <f t="shared" si="28"/>
        <v>0</v>
      </c>
      <c r="T65" s="146">
        <f t="shared" si="29"/>
        <v>0</v>
      </c>
      <c r="U65" s="146" cm="1">
        <f t="array" ref="U65">IF(OR(A65="",$U$3=0),0,IF(ISERROR($U$3),0,ROUND(INDEX(MT_NP,1,職業等級)+(MAX(0,MT保額-3)*INDEX(MT_NP,2,職業等級)),0)))</f>
        <v>0</v>
      </c>
      <c r="V65" s="146">
        <f t="shared" si="30"/>
        <v>0</v>
      </c>
      <c r="W65" s="146">
        <f t="shared" si="31"/>
        <v>0</v>
      </c>
      <c r="X65" s="146">
        <f t="shared" si="32"/>
        <v>0</v>
      </c>
      <c r="Y65" s="146"/>
      <c r="Z65" s="146"/>
      <c r="AA65" s="153"/>
    </row>
    <row r="66" spans="1:27">
      <c r="A66" s="149" t="str">
        <f t="shared" si="33"/>
        <v/>
      </c>
      <c r="B66" s="150" cm="1">
        <f t="array" aca="1" ref="B66" ca="1">IF(OR(A66="",$B$3=0),0,
IF(AND(OR($B$2="ASGNLB1",$B$2="ASGNLB2"),$B$3&gt;30,$A66&gt;49),0,
IF(AND(照護有術顯示判斷=2,'試算表(16歲-65歲)'!A66&gt;=20,'試算表(16歲-65歲)'!A66&lt;=29),0,
VLOOKUP("P"&amp;REPT("0",2-LEN(商品年期))&amp;商品年期&amp;"S"&amp;"1"&amp;"A"&amp;REPT("0",2-LEN(A66))&amp;A66,INDIRECT(主約費率表),6,FALSE)*$B$3)))</f>
        <v>0</v>
      </c>
      <c r="C66" s="150">
        <f t="shared" si="17"/>
        <v>0</v>
      </c>
      <c r="D66" s="150">
        <f t="shared" si="18"/>
        <v>0</v>
      </c>
      <c r="E66" s="150">
        <f t="shared" si="19"/>
        <v>0</v>
      </c>
      <c r="F66" s="150">
        <f t="shared" si="20"/>
        <v>0</v>
      </c>
      <c r="G66" s="151">
        <f t="shared" si="21"/>
        <v>0</v>
      </c>
      <c r="H66" s="151" cm="1">
        <f t="array" ref="H66">IF(OR(A66="",$H$3=0),0,IF(ISERROR($H$3),0,ROUND(INDEX(MT_NP,1,職業等級)+(MAX(0,MT保額-3)*INDEX(MT_NP,2,職業等級)),0)))</f>
        <v>0</v>
      </c>
      <c r="I66" s="150">
        <f t="shared" si="22"/>
        <v>0</v>
      </c>
      <c r="J66" s="150">
        <f t="shared" si="23"/>
        <v>0</v>
      </c>
      <c r="K66" s="150">
        <f t="shared" si="24"/>
        <v>0</v>
      </c>
      <c r="L66" s="150"/>
      <c r="M66" s="150"/>
      <c r="N66" s="152"/>
      <c r="O66" s="146">
        <f ca="1">IF(OR(A66="",$O$3=0),0,
IF(AND(OR($O$2="ASGNLB1",$O$2="ASGNLB2"),$O$3&gt;30,$A66&gt;49),0,
IF(AND(照護有術顯示判斷=2,'試算表(16歲-65歲)'!A66&gt;=20,'試算表(16歲-65歲)'!A66&lt;=29),0,
VLOOKUP("P"&amp;REPT("0",2-LEN(商品年期))&amp;商品年期&amp;"S"&amp;"2"&amp;"A"&amp;REPT("0",2-LEN(A66))&amp;A66,INDIRECT(主約費率表),6,FALSE)*$O$3)))</f>
        <v>0</v>
      </c>
      <c r="P66" s="146">
        <f t="shared" si="25"/>
        <v>0</v>
      </c>
      <c r="Q66" s="146">
        <f t="shared" si="26"/>
        <v>0</v>
      </c>
      <c r="R66" s="146">
        <f t="shared" si="27"/>
        <v>0</v>
      </c>
      <c r="S66" s="146">
        <f t="shared" si="28"/>
        <v>0</v>
      </c>
      <c r="T66" s="146">
        <f t="shared" si="29"/>
        <v>0</v>
      </c>
      <c r="U66" s="146" cm="1">
        <f t="array" ref="U66">IF(OR(A66="",$U$3=0),0,IF(ISERROR($U$3),0,ROUND(INDEX(MT_NP,1,職業等級)+(MAX(0,MT保額-3)*INDEX(MT_NP,2,職業等級)),0)))</f>
        <v>0</v>
      </c>
      <c r="V66" s="146">
        <f t="shared" si="30"/>
        <v>0</v>
      </c>
      <c r="W66" s="146">
        <f t="shared" si="31"/>
        <v>0</v>
      </c>
      <c r="X66" s="146">
        <f t="shared" si="32"/>
        <v>0</v>
      </c>
      <c r="Y66" s="146"/>
      <c r="Z66" s="146"/>
      <c r="AA66" s="153"/>
    </row>
    <row r="67" spans="1:27">
      <c r="A67" s="149" t="str">
        <f t="shared" si="33"/>
        <v/>
      </c>
      <c r="B67" s="150" cm="1">
        <f t="array" aca="1" ref="B67" ca="1">IF(OR(A67="",$B$3=0),0,
IF(AND(OR($B$2="ASGNLB1",$B$2="ASGNLB2"),$B$3&gt;30,$A67&gt;49),0,
IF(AND(照護有術顯示判斷=2,'試算表(16歲-65歲)'!A67&gt;=20,'試算表(16歲-65歲)'!A67&lt;=29),0,
VLOOKUP("P"&amp;REPT("0",2-LEN(商品年期))&amp;商品年期&amp;"S"&amp;"1"&amp;"A"&amp;REPT("0",2-LEN(A67))&amp;A67,INDIRECT(主約費率表),6,FALSE)*$B$3)))</f>
        <v>0</v>
      </c>
      <c r="C67" s="150">
        <f t="shared" si="17"/>
        <v>0</v>
      </c>
      <c r="D67" s="150">
        <f t="shared" si="18"/>
        <v>0</v>
      </c>
      <c r="E67" s="150">
        <f t="shared" si="19"/>
        <v>0</v>
      </c>
      <c r="F67" s="150">
        <f t="shared" si="20"/>
        <v>0</v>
      </c>
      <c r="G67" s="151">
        <f t="shared" si="21"/>
        <v>0</v>
      </c>
      <c r="H67" s="151" cm="1">
        <f t="array" ref="H67">IF(OR(A67="",$H$3=0),0,IF(ISERROR($H$3),0,ROUND(INDEX(MT_NP,1,職業等級)+(MAX(0,MT保額-3)*INDEX(MT_NP,2,職業等級)),0)))</f>
        <v>0</v>
      </c>
      <c r="I67" s="150">
        <f t="shared" si="22"/>
        <v>0</v>
      </c>
      <c r="J67" s="150">
        <f t="shared" si="23"/>
        <v>0</v>
      </c>
      <c r="K67" s="150">
        <f t="shared" si="24"/>
        <v>0</v>
      </c>
      <c r="L67" s="150"/>
      <c r="M67" s="150"/>
      <c r="N67" s="152"/>
      <c r="O67" s="146">
        <f ca="1">IF(OR(A67="",$O$3=0),0,
IF(AND(OR($O$2="ASGNLB1",$O$2="ASGNLB2"),$O$3&gt;30,$A67&gt;49),0,
IF(AND(照護有術顯示判斷=2,'試算表(16歲-65歲)'!A67&gt;=20,'試算表(16歲-65歲)'!A67&lt;=29),0,
VLOOKUP("P"&amp;REPT("0",2-LEN(商品年期))&amp;商品年期&amp;"S"&amp;"2"&amp;"A"&amp;REPT("0",2-LEN(A67))&amp;A67,INDIRECT(主約費率表),6,FALSE)*$O$3)))</f>
        <v>0</v>
      </c>
      <c r="P67" s="146">
        <f t="shared" si="25"/>
        <v>0</v>
      </c>
      <c r="Q67" s="146">
        <f t="shared" si="26"/>
        <v>0</v>
      </c>
      <c r="R67" s="146">
        <f t="shared" si="27"/>
        <v>0</v>
      </c>
      <c r="S67" s="146">
        <f t="shared" si="28"/>
        <v>0</v>
      </c>
      <c r="T67" s="146">
        <f t="shared" si="29"/>
        <v>0</v>
      </c>
      <c r="U67" s="146" cm="1">
        <f t="array" ref="U67">IF(OR(A67="",$U$3=0),0,IF(ISERROR($U$3),0,ROUND(INDEX(MT_NP,1,職業等級)+(MAX(0,MT保額-3)*INDEX(MT_NP,2,職業等級)),0)))</f>
        <v>0</v>
      </c>
      <c r="V67" s="146">
        <f t="shared" si="30"/>
        <v>0</v>
      </c>
      <c r="W67" s="146">
        <f t="shared" si="31"/>
        <v>0</v>
      </c>
      <c r="X67" s="146">
        <f t="shared" si="32"/>
        <v>0</v>
      </c>
      <c r="Y67" s="146"/>
      <c r="Z67" s="146"/>
      <c r="AA67" s="153"/>
    </row>
    <row r="68" spans="1:27">
      <c r="A68" s="149" t="str">
        <f t="shared" si="33"/>
        <v/>
      </c>
      <c r="B68" s="150" cm="1">
        <f t="array" aca="1" ref="B68" ca="1">IF(OR(A68="",$B$3=0),0,
IF(AND(OR($B$2="ASGNLB1",$B$2="ASGNLB2"),$B$3&gt;30,$A68&gt;49),0,
IF(AND(照護有術顯示判斷=2,'試算表(16歲-65歲)'!A68&gt;=20,'試算表(16歲-65歲)'!A68&lt;=29),0,
VLOOKUP("P"&amp;REPT("0",2-LEN(商品年期))&amp;商品年期&amp;"S"&amp;"1"&amp;"A"&amp;REPT("0",2-LEN(A68))&amp;A68,INDIRECT(主約費率表),6,FALSE)*$B$3)))</f>
        <v>0</v>
      </c>
      <c r="C68" s="150">
        <f t="shared" ref="C68:C90" si="34">IF(OR(A68="",$C$3=0),0,IF(ISERROR($C$3),0,ROUND($C$3*VLOOKUP("P"&amp;REPT("0",2-LEN(BNLTRN1繳費年期))&amp;BNLTRN1繳費年期&amp;"S"&amp;"1"&amp;"A"&amp;REPT("0",2-LEN(A68))&amp;A68,BNLTRN1_NP,6,FALSE),0)))</f>
        <v>0</v>
      </c>
      <c r="D68" s="150">
        <f t="shared" ref="D68:D90" si="35">IF(OR(A68="",$D$3=0),0,IF(ISERROR($D$3),0,ROUND($D$3*VLOOKUP(""&amp;A68,ADDNTR1_NP,2,FALSE),0)))</f>
        <v>0</v>
      </c>
      <c r="E68" s="150">
        <f t="shared" ref="E68:E90" si="36">IF(OR(A68="",$E$3=0),0,IF(ISERROR($E$3),0,ROUND(VLOOKUP("P"&amp;AMRNTR1計劃&amp;"S"&amp;"1"&amp;"A"&amp;REPT("0",2-LEN(A68))&amp;A68,AMRNTR1_NP,6,FALSE),0)))</f>
        <v>0</v>
      </c>
      <c r="F68" s="150">
        <f t="shared" ref="F68:F90" si="37">IF(OR(A68="",$F$3=0),0,IF(ISERROR($F$3),0,ROUND($F$3*VLOOKUP(IF(A68&lt;15,1,IF(A68=15,2,3)),DPAA_NP,2+職業等級,FALSE),0)))</f>
        <v>0</v>
      </c>
      <c r="G68" s="151">
        <f t="shared" ref="G68:G90" si="38">IF(OR(A68="",$G$3=0),0,IF(ISERROR($G$3),0,ROUND(VLOOKUP("ML-"&amp;ML計劃,ML_NP,1+職業等級,FALSE),0)))</f>
        <v>0</v>
      </c>
      <c r="H68" s="151" cm="1">
        <f t="array" ref="H68">IF(OR(A68="",$H$3=0),0,IF(ISERROR($H$3),0,ROUND(INDEX(MT_NP,1,職業等級)+(MAX(0,MT保額-3)*INDEX(MT_NP,2,職業等級)),0)))</f>
        <v>0</v>
      </c>
      <c r="I68" s="150">
        <f t="shared" ref="I68:I90" si="39">IF(OR(A68="",$I$3=0),0,IF(ISERROR($I$3),0,ROUND($I$3*IF(ISERROR(VLOOKUP("P10"&amp;"S"&amp;"1"&amp;"A"&amp;REPT("0",2-LEN(A68))&amp;A68,ACCNTR1_NP,5,FALSE)),0,VLOOKUP("P10"&amp;"S"&amp;"1"&amp;"A"&amp;REPT("0",2-LEN(A68))&amp;A68,ACCNTR1_NP,5,FALSE)),0)))</f>
        <v>0</v>
      </c>
      <c r="J68" s="150">
        <f t="shared" ref="J68:J90" si="40">IF(OR(A68="",$J$3=0),0,IF(ISERROR($J$3),0,ROUND($J$3*VLOOKUP("P01"&amp;"S"&amp;"1"&amp;"A"&amp;REPT("0",2-LEN(A68))&amp;A68,ACCNTR2_NP,5,FALSE),0)))</f>
        <v>0</v>
      </c>
      <c r="K68" s="150">
        <f t="shared" ref="K68:K90" si="41">IF(OR(A68="",$K$3=0),0,IF(ISERROR($K$3),0,ROUND($K$3*VLOOKUP("P01"&amp;"S"&amp;"1"&amp;"A"&amp;REPT("0",2-LEN(A68))&amp;A68,ACCNTR3_NP,5,FALSE),0)))</f>
        <v>0</v>
      </c>
      <c r="L68" s="150"/>
      <c r="M68" s="150"/>
      <c r="N68" s="152"/>
      <c r="O68" s="146">
        <f ca="1">IF(OR(A68="",$O$3=0),0,
IF(AND(OR($O$2="ASGNLB1",$O$2="ASGNLB2"),$O$3&gt;30,$A68&gt;49),0,
IF(AND(照護有術顯示判斷=2,'試算表(16歲-65歲)'!A68&gt;=20,'試算表(16歲-65歲)'!A68&lt;=29),0,
VLOOKUP("P"&amp;REPT("0",2-LEN(商品年期))&amp;商品年期&amp;"S"&amp;"2"&amp;"A"&amp;REPT("0",2-LEN(A68))&amp;A68,INDIRECT(主約費率表),6,FALSE)*$O$3)))</f>
        <v>0</v>
      </c>
      <c r="P68" s="146">
        <f t="shared" ref="P68:P90" si="42">IF(OR(A68="",$P$3=0),0,IF(ISERROR($P$3),0,ROUND($P$3*VLOOKUP("P"&amp;REPT("0",2-LEN(BNLTRN1繳費年期))&amp;BNLTRN1繳費年期&amp;"S"&amp;"2"&amp;"A"&amp;REPT("0",2-LEN(A68))&amp;A68,BNLTRN1_NP,6,FALSE),0)))</f>
        <v>0</v>
      </c>
      <c r="Q68" s="146">
        <f t="shared" ref="Q68:Q90" si="43">IF(OR(A68="",$Q$3=0),0,IF(ISERROR($Q$3),0,ROUND($Q$3*VLOOKUP(""&amp;A68,ADDNTR1_NP,3,FALSE),0)))</f>
        <v>0</v>
      </c>
      <c r="R68" s="146">
        <f t="shared" ref="R68:R90" si="44">IF(OR(A68="",$R$3=0),0,IF(ISERROR($R$3),0,ROUND(VLOOKUP("P"&amp;AMRNTR1計劃&amp;"S"&amp;"2"&amp;"A"&amp;REPT("0",2-LEN(A68))&amp;A68,AMRNTR1_NP,6,FALSE),0)))</f>
        <v>0</v>
      </c>
      <c r="S68" s="146">
        <f t="shared" ref="S68:S90" si="45">IF(OR(A68="",$S$3=0),0,IF(ISERROR($S$3),0,ROUND($S$3*VLOOKUP(IF(A68&lt;15,1,IF(A68=15,2,3)),DPAA_NP,2+職業等級,FALSE),0)))</f>
        <v>0</v>
      </c>
      <c r="T68" s="146">
        <f t="shared" ref="T68:T90" si="46">IF(OR(A68="",$T$3=0),0,IF(ISERROR($T$3),0,ROUND(VLOOKUP("ML-"&amp;ML計劃,ML_NP,1+職業等級,FALSE),0)))</f>
        <v>0</v>
      </c>
      <c r="U68" s="146" cm="1">
        <f t="array" ref="U68">IF(OR(A68="",$U$3=0),0,IF(ISERROR($U$3),0,ROUND(INDEX(MT_NP,1,職業等級)+(MAX(0,MT保額-3)*INDEX(MT_NP,2,職業等級)),0)))</f>
        <v>0</v>
      </c>
      <c r="V68" s="146">
        <f t="shared" ref="V68:V90" si="47">IF(OR(A68="",$V$3=0),0,IF(ISERROR($V$3),0,ROUND($V$3*IF(ISERROR(VLOOKUP("P10"&amp;"S"&amp;"2"&amp;"A"&amp;REPT("0",2-LEN(A68))&amp;A68,ACCNTR1_NP,5,FALSE)),0,VLOOKUP("P10"&amp;"S"&amp;"2"&amp;"A"&amp;REPT("0",2-LEN(A68))&amp;A68,ACCNTR1_NP,5,FALSE)),0)))</f>
        <v>0</v>
      </c>
      <c r="W68" s="146">
        <f t="shared" ref="W68:W90" si="48">IF(OR(A68="",$W$3=0),0,IF(ISERROR($W$3),0,ROUND($W$3*VLOOKUP("P01"&amp;"S"&amp;"2"&amp;"A"&amp;REPT("0",2-LEN(A68))&amp;A68,ACCNTR2_NP,5,FALSE),0)))</f>
        <v>0</v>
      </c>
      <c r="X68" s="146">
        <f t="shared" ref="X68:X90" si="49">IF(OR(A68="",$X$3=0),0,IF(ISERROR($X$3),0,ROUND($X$3*VLOOKUP("P01"&amp;"S"&amp;"2"&amp;"A"&amp;REPT("0",2-LEN(A68))&amp;A68,ACCNTR3_NP,5,FALSE),0)))</f>
        <v>0</v>
      </c>
      <c r="Y68" s="146"/>
      <c r="Z68" s="146"/>
      <c r="AA68" s="153"/>
    </row>
    <row r="69" spans="1:27">
      <c r="A69" s="149" t="str">
        <f t="shared" ref="A69:A90" si="50">IF(A68="","",IF(OR(A68+1&gt;分齡表最大顯示年齡,A68+1&gt;65),"",A68+1))</f>
        <v/>
      </c>
      <c r="B69" s="150" cm="1">
        <f t="array" aca="1" ref="B69" ca="1">IF(OR(A69="",$B$3=0),0,
IF(AND(OR($B$2="ASGNLB1",$B$2="ASGNLB2"),$B$3&gt;30,$A69&gt;49),0,
IF(AND(照護有術顯示判斷=2,'試算表(16歲-65歲)'!A69&gt;=20,'試算表(16歲-65歲)'!A69&lt;=29),0,
VLOOKUP("P"&amp;REPT("0",2-LEN(商品年期))&amp;商品年期&amp;"S"&amp;"1"&amp;"A"&amp;REPT("0",2-LEN(A69))&amp;A69,INDIRECT(主約費率表),6,FALSE)*$B$3)))</f>
        <v>0</v>
      </c>
      <c r="C69" s="150">
        <f t="shared" si="34"/>
        <v>0</v>
      </c>
      <c r="D69" s="150">
        <f t="shared" si="35"/>
        <v>0</v>
      </c>
      <c r="E69" s="150">
        <f t="shared" si="36"/>
        <v>0</v>
      </c>
      <c r="F69" s="150">
        <f t="shared" si="37"/>
        <v>0</v>
      </c>
      <c r="G69" s="151">
        <f t="shared" si="38"/>
        <v>0</v>
      </c>
      <c r="H69" s="151" cm="1">
        <f t="array" ref="H69">IF(OR(A69="",$H$3=0),0,IF(ISERROR($H$3),0,ROUND(INDEX(MT_NP,1,職業等級)+(MAX(0,MT保額-3)*INDEX(MT_NP,2,職業等級)),0)))</f>
        <v>0</v>
      </c>
      <c r="I69" s="150">
        <f t="shared" si="39"/>
        <v>0</v>
      </c>
      <c r="J69" s="150">
        <f t="shared" si="40"/>
        <v>0</v>
      </c>
      <c r="K69" s="150">
        <f t="shared" si="41"/>
        <v>0</v>
      </c>
      <c r="L69" s="150"/>
      <c r="M69" s="150"/>
      <c r="N69" s="152"/>
      <c r="O69" s="146">
        <f ca="1">IF(OR(A69="",$O$3=0),0,
IF(AND(OR($O$2="ASGNLB1",$O$2="ASGNLB2"),$O$3&gt;30,$A69&gt;49),0,
IF(AND(照護有術顯示判斷=2,'試算表(16歲-65歲)'!A69&gt;=20,'試算表(16歲-65歲)'!A69&lt;=29),0,
VLOOKUP("P"&amp;REPT("0",2-LEN(商品年期))&amp;商品年期&amp;"S"&amp;"2"&amp;"A"&amp;REPT("0",2-LEN(A69))&amp;A69,INDIRECT(主約費率表),6,FALSE)*$O$3)))</f>
        <v>0</v>
      </c>
      <c r="P69" s="146">
        <f t="shared" si="42"/>
        <v>0</v>
      </c>
      <c r="Q69" s="146">
        <f t="shared" si="43"/>
        <v>0</v>
      </c>
      <c r="R69" s="146">
        <f t="shared" si="44"/>
        <v>0</v>
      </c>
      <c r="S69" s="146">
        <f t="shared" si="45"/>
        <v>0</v>
      </c>
      <c r="T69" s="146">
        <f t="shared" si="46"/>
        <v>0</v>
      </c>
      <c r="U69" s="146" cm="1">
        <f t="array" ref="U69">IF(OR(A69="",$U$3=0),0,IF(ISERROR($U$3),0,ROUND(INDEX(MT_NP,1,職業等級)+(MAX(0,MT保額-3)*INDEX(MT_NP,2,職業等級)),0)))</f>
        <v>0</v>
      </c>
      <c r="V69" s="146">
        <f t="shared" si="47"/>
        <v>0</v>
      </c>
      <c r="W69" s="146">
        <f t="shared" si="48"/>
        <v>0</v>
      </c>
      <c r="X69" s="146">
        <f t="shared" si="49"/>
        <v>0</v>
      </c>
      <c r="Y69" s="146"/>
      <c r="Z69" s="146"/>
      <c r="AA69" s="153"/>
    </row>
    <row r="70" spans="1:27">
      <c r="A70" s="149" t="str">
        <f t="shared" si="50"/>
        <v/>
      </c>
      <c r="B70" s="150" cm="1">
        <f t="array" aca="1" ref="B70" ca="1">IF(OR(A70="",$B$3=0),0,
IF(AND(OR($B$2="ASGNLB1",$B$2="ASGNLB2"),$B$3&gt;30,$A70&gt;49),0,
IF(AND(照護有術顯示判斷=2,'試算表(16歲-65歲)'!A70&gt;=20,'試算表(16歲-65歲)'!A70&lt;=29),0,
VLOOKUP("P"&amp;REPT("0",2-LEN(商品年期))&amp;商品年期&amp;"S"&amp;"1"&amp;"A"&amp;REPT("0",2-LEN(A70))&amp;A70,INDIRECT(主約費率表),6,FALSE)*$B$3)))</f>
        <v>0</v>
      </c>
      <c r="C70" s="150">
        <f t="shared" si="34"/>
        <v>0</v>
      </c>
      <c r="D70" s="150">
        <f t="shared" si="35"/>
        <v>0</v>
      </c>
      <c r="E70" s="150">
        <f t="shared" si="36"/>
        <v>0</v>
      </c>
      <c r="F70" s="150">
        <f t="shared" si="37"/>
        <v>0</v>
      </c>
      <c r="G70" s="151">
        <f t="shared" si="38"/>
        <v>0</v>
      </c>
      <c r="H70" s="151" cm="1">
        <f t="array" ref="H70">IF(OR(A70="",$H$3=0),0,IF(ISERROR($H$3),0,ROUND(INDEX(MT_NP,1,職業等級)+(MAX(0,MT保額-3)*INDEX(MT_NP,2,職業等級)),0)))</f>
        <v>0</v>
      </c>
      <c r="I70" s="150">
        <f t="shared" si="39"/>
        <v>0</v>
      </c>
      <c r="J70" s="150">
        <f t="shared" si="40"/>
        <v>0</v>
      </c>
      <c r="K70" s="150">
        <f t="shared" si="41"/>
        <v>0</v>
      </c>
      <c r="L70" s="150"/>
      <c r="M70" s="150"/>
      <c r="N70" s="152"/>
      <c r="O70" s="146">
        <f ca="1">IF(OR(A70="",$O$3=0),0,
IF(AND(OR($O$2="ASGNLB1",$O$2="ASGNLB2"),$O$3&gt;30,$A70&gt;49),0,
IF(AND(照護有術顯示判斷=2,'試算表(16歲-65歲)'!A70&gt;=20,'試算表(16歲-65歲)'!A70&lt;=29),0,
VLOOKUP("P"&amp;REPT("0",2-LEN(商品年期))&amp;商品年期&amp;"S"&amp;"2"&amp;"A"&amp;REPT("0",2-LEN(A70))&amp;A70,INDIRECT(主約費率表),6,FALSE)*$O$3)))</f>
        <v>0</v>
      </c>
      <c r="P70" s="146">
        <f t="shared" si="42"/>
        <v>0</v>
      </c>
      <c r="Q70" s="146">
        <f t="shared" si="43"/>
        <v>0</v>
      </c>
      <c r="R70" s="146">
        <f t="shared" si="44"/>
        <v>0</v>
      </c>
      <c r="S70" s="146">
        <f t="shared" si="45"/>
        <v>0</v>
      </c>
      <c r="T70" s="146">
        <f t="shared" si="46"/>
        <v>0</v>
      </c>
      <c r="U70" s="146" cm="1">
        <f t="array" ref="U70">IF(OR(A70="",$U$3=0),0,IF(ISERROR($U$3),0,ROUND(INDEX(MT_NP,1,職業等級)+(MAX(0,MT保額-3)*INDEX(MT_NP,2,職業等級)),0)))</f>
        <v>0</v>
      </c>
      <c r="V70" s="146">
        <f t="shared" si="47"/>
        <v>0</v>
      </c>
      <c r="W70" s="146">
        <f t="shared" si="48"/>
        <v>0</v>
      </c>
      <c r="X70" s="146">
        <f t="shared" si="49"/>
        <v>0</v>
      </c>
      <c r="Y70" s="146"/>
      <c r="Z70" s="146"/>
      <c r="AA70" s="153"/>
    </row>
    <row r="71" spans="1:27">
      <c r="A71" s="149" t="str">
        <f t="shared" si="50"/>
        <v/>
      </c>
      <c r="B71" s="150" cm="1">
        <f t="array" aca="1" ref="B71" ca="1">IF(OR(A71="",$B$3=0),0,
IF(AND(OR($B$2="ASGNLB1",$B$2="ASGNLB2"),$B$3&gt;30,$A71&gt;49),0,
IF(AND(照護有術顯示判斷=2,'試算表(16歲-65歲)'!A71&gt;=20,'試算表(16歲-65歲)'!A71&lt;=29),0,
VLOOKUP("P"&amp;REPT("0",2-LEN(商品年期))&amp;商品年期&amp;"S"&amp;"1"&amp;"A"&amp;REPT("0",2-LEN(A71))&amp;A71,INDIRECT(主約費率表),6,FALSE)*$B$3)))</f>
        <v>0</v>
      </c>
      <c r="C71" s="150">
        <f t="shared" si="34"/>
        <v>0</v>
      </c>
      <c r="D71" s="150">
        <f t="shared" si="35"/>
        <v>0</v>
      </c>
      <c r="E71" s="150">
        <f t="shared" si="36"/>
        <v>0</v>
      </c>
      <c r="F71" s="150">
        <f t="shared" si="37"/>
        <v>0</v>
      </c>
      <c r="G71" s="151">
        <f t="shared" si="38"/>
        <v>0</v>
      </c>
      <c r="H71" s="151" cm="1">
        <f t="array" ref="H71">IF(OR(A71="",$H$3=0),0,IF(ISERROR($H$3),0,ROUND(INDEX(MT_NP,1,職業等級)+(MAX(0,MT保額-3)*INDEX(MT_NP,2,職業等級)),0)))</f>
        <v>0</v>
      </c>
      <c r="I71" s="150">
        <f t="shared" si="39"/>
        <v>0</v>
      </c>
      <c r="J71" s="150">
        <f t="shared" si="40"/>
        <v>0</v>
      </c>
      <c r="K71" s="150">
        <f t="shared" si="41"/>
        <v>0</v>
      </c>
      <c r="L71" s="150"/>
      <c r="M71" s="150"/>
      <c r="N71" s="152"/>
      <c r="O71" s="146">
        <f ca="1">IF(OR(A71="",$O$3=0),0,
IF(AND(OR($O$2="ASGNLB1",$O$2="ASGNLB2"),$O$3&gt;30,$A71&gt;49),0,
IF(AND(照護有術顯示判斷=2,'試算表(16歲-65歲)'!A71&gt;=20,'試算表(16歲-65歲)'!A71&lt;=29),0,
VLOOKUP("P"&amp;REPT("0",2-LEN(商品年期))&amp;商品年期&amp;"S"&amp;"2"&amp;"A"&amp;REPT("0",2-LEN(A71))&amp;A71,INDIRECT(主約費率表),6,FALSE)*$O$3)))</f>
        <v>0</v>
      </c>
      <c r="P71" s="146">
        <f t="shared" si="42"/>
        <v>0</v>
      </c>
      <c r="Q71" s="146">
        <f t="shared" si="43"/>
        <v>0</v>
      </c>
      <c r="R71" s="146">
        <f t="shared" si="44"/>
        <v>0</v>
      </c>
      <c r="S71" s="146">
        <f t="shared" si="45"/>
        <v>0</v>
      </c>
      <c r="T71" s="146">
        <f t="shared" si="46"/>
        <v>0</v>
      </c>
      <c r="U71" s="146" cm="1">
        <f t="array" ref="U71">IF(OR(A71="",$U$3=0),0,IF(ISERROR($U$3),0,ROUND(INDEX(MT_NP,1,職業等級)+(MAX(0,MT保額-3)*INDEX(MT_NP,2,職業等級)),0)))</f>
        <v>0</v>
      </c>
      <c r="V71" s="146">
        <f t="shared" si="47"/>
        <v>0</v>
      </c>
      <c r="W71" s="146">
        <f t="shared" si="48"/>
        <v>0</v>
      </c>
      <c r="X71" s="146">
        <f t="shared" si="49"/>
        <v>0</v>
      </c>
      <c r="Y71" s="146"/>
      <c r="Z71" s="146"/>
      <c r="AA71" s="153"/>
    </row>
    <row r="72" spans="1:27">
      <c r="A72" s="149" t="str">
        <f t="shared" si="50"/>
        <v/>
      </c>
      <c r="B72" s="150" cm="1">
        <f t="array" aca="1" ref="B72" ca="1">IF(OR(A72="",$B$3=0),0,
IF(AND(OR($B$2="ASGNLB1",$B$2="ASGNLB2"),$B$3&gt;30,$A72&gt;49),0,
IF(AND(照護有術顯示判斷=2,'試算表(16歲-65歲)'!A72&gt;=20,'試算表(16歲-65歲)'!A72&lt;=29),0,
VLOOKUP("P"&amp;REPT("0",2-LEN(商品年期))&amp;商品年期&amp;"S"&amp;"1"&amp;"A"&amp;REPT("0",2-LEN(A72))&amp;A72,INDIRECT(主約費率表),6,FALSE)*$B$3)))</f>
        <v>0</v>
      </c>
      <c r="C72" s="150">
        <f t="shared" si="34"/>
        <v>0</v>
      </c>
      <c r="D72" s="150">
        <f t="shared" si="35"/>
        <v>0</v>
      </c>
      <c r="E72" s="150">
        <f t="shared" si="36"/>
        <v>0</v>
      </c>
      <c r="F72" s="150">
        <f t="shared" si="37"/>
        <v>0</v>
      </c>
      <c r="G72" s="151">
        <f t="shared" si="38"/>
        <v>0</v>
      </c>
      <c r="H72" s="151" cm="1">
        <f t="array" ref="H72">IF(OR(A72="",$H$3=0),0,IF(ISERROR($H$3),0,ROUND(INDEX(MT_NP,1,職業等級)+(MAX(0,MT保額-3)*INDEX(MT_NP,2,職業等級)),0)))</f>
        <v>0</v>
      </c>
      <c r="I72" s="150">
        <f t="shared" si="39"/>
        <v>0</v>
      </c>
      <c r="J72" s="150">
        <f t="shared" si="40"/>
        <v>0</v>
      </c>
      <c r="K72" s="150">
        <f t="shared" si="41"/>
        <v>0</v>
      </c>
      <c r="L72" s="150"/>
      <c r="M72" s="150"/>
      <c r="N72" s="152"/>
      <c r="O72" s="146">
        <f ca="1">IF(OR(A72="",$O$3=0),0,
IF(AND(OR($O$2="ASGNLB1",$O$2="ASGNLB2"),$O$3&gt;30,$A72&gt;49),0,
IF(AND(照護有術顯示判斷=2,'試算表(16歲-65歲)'!A72&gt;=20,'試算表(16歲-65歲)'!A72&lt;=29),0,
VLOOKUP("P"&amp;REPT("0",2-LEN(商品年期))&amp;商品年期&amp;"S"&amp;"2"&amp;"A"&amp;REPT("0",2-LEN(A72))&amp;A72,INDIRECT(主約費率表),6,FALSE)*$O$3)))</f>
        <v>0</v>
      </c>
      <c r="P72" s="146">
        <f t="shared" si="42"/>
        <v>0</v>
      </c>
      <c r="Q72" s="146">
        <f t="shared" si="43"/>
        <v>0</v>
      </c>
      <c r="R72" s="146">
        <f t="shared" si="44"/>
        <v>0</v>
      </c>
      <c r="S72" s="146">
        <f t="shared" si="45"/>
        <v>0</v>
      </c>
      <c r="T72" s="146">
        <f t="shared" si="46"/>
        <v>0</v>
      </c>
      <c r="U72" s="146" cm="1">
        <f t="array" ref="U72">IF(OR(A72="",$U$3=0),0,IF(ISERROR($U$3),0,ROUND(INDEX(MT_NP,1,職業等級)+(MAX(0,MT保額-3)*INDEX(MT_NP,2,職業等級)),0)))</f>
        <v>0</v>
      </c>
      <c r="V72" s="146">
        <f t="shared" si="47"/>
        <v>0</v>
      </c>
      <c r="W72" s="146">
        <f t="shared" si="48"/>
        <v>0</v>
      </c>
      <c r="X72" s="146">
        <f t="shared" si="49"/>
        <v>0</v>
      </c>
      <c r="Y72" s="146"/>
      <c r="Z72" s="146"/>
      <c r="AA72" s="153"/>
    </row>
    <row r="73" spans="1:27">
      <c r="A73" s="149" t="str">
        <f t="shared" si="50"/>
        <v/>
      </c>
      <c r="B73" s="150" cm="1">
        <f t="array" aca="1" ref="B73" ca="1">IF(OR(A73="",$B$3=0),0,
IF(AND(OR($B$2="ASGNLB1",$B$2="ASGNLB2"),$B$3&gt;30,$A73&gt;49),0,
IF(AND(照護有術顯示判斷=2,'試算表(16歲-65歲)'!A73&gt;=20,'試算表(16歲-65歲)'!A73&lt;=29),0,
VLOOKUP("P"&amp;REPT("0",2-LEN(商品年期))&amp;商品年期&amp;"S"&amp;"1"&amp;"A"&amp;REPT("0",2-LEN(A73))&amp;A73,INDIRECT(主約費率表),6,FALSE)*$B$3)))</f>
        <v>0</v>
      </c>
      <c r="C73" s="150">
        <f t="shared" si="34"/>
        <v>0</v>
      </c>
      <c r="D73" s="150">
        <f t="shared" si="35"/>
        <v>0</v>
      </c>
      <c r="E73" s="150">
        <f t="shared" si="36"/>
        <v>0</v>
      </c>
      <c r="F73" s="150">
        <f t="shared" si="37"/>
        <v>0</v>
      </c>
      <c r="G73" s="151">
        <f t="shared" si="38"/>
        <v>0</v>
      </c>
      <c r="H73" s="151" cm="1">
        <f t="array" ref="H73">IF(OR(A73="",$H$3=0),0,IF(ISERROR($H$3),0,ROUND(INDEX(MT_NP,1,職業等級)+(MAX(0,MT保額-3)*INDEX(MT_NP,2,職業等級)),0)))</f>
        <v>0</v>
      </c>
      <c r="I73" s="150">
        <f t="shared" si="39"/>
        <v>0</v>
      </c>
      <c r="J73" s="150">
        <f t="shared" si="40"/>
        <v>0</v>
      </c>
      <c r="K73" s="150">
        <f t="shared" si="41"/>
        <v>0</v>
      </c>
      <c r="L73" s="150"/>
      <c r="M73" s="150"/>
      <c r="N73" s="152"/>
      <c r="O73" s="146">
        <f ca="1">IF(OR(A73="",$O$3=0),0,
IF(AND(OR($O$2="ASGNLB1",$O$2="ASGNLB2"),$O$3&gt;30,$A73&gt;49),0,
IF(AND(照護有術顯示判斷=2,'試算表(16歲-65歲)'!A73&gt;=20,'試算表(16歲-65歲)'!A73&lt;=29),0,
VLOOKUP("P"&amp;REPT("0",2-LEN(商品年期))&amp;商品年期&amp;"S"&amp;"2"&amp;"A"&amp;REPT("0",2-LEN(A73))&amp;A73,INDIRECT(主約費率表),6,FALSE)*$O$3)))</f>
        <v>0</v>
      </c>
      <c r="P73" s="146">
        <f t="shared" si="42"/>
        <v>0</v>
      </c>
      <c r="Q73" s="146">
        <f t="shared" si="43"/>
        <v>0</v>
      </c>
      <c r="R73" s="146">
        <f t="shared" si="44"/>
        <v>0</v>
      </c>
      <c r="S73" s="146">
        <f t="shared" si="45"/>
        <v>0</v>
      </c>
      <c r="T73" s="146">
        <f t="shared" si="46"/>
        <v>0</v>
      </c>
      <c r="U73" s="146" cm="1">
        <f t="array" ref="U73">IF(OR(A73="",$U$3=0),0,IF(ISERROR($U$3),0,ROUND(INDEX(MT_NP,1,職業等級)+(MAX(0,MT保額-3)*INDEX(MT_NP,2,職業等級)),0)))</f>
        <v>0</v>
      </c>
      <c r="V73" s="146">
        <f t="shared" si="47"/>
        <v>0</v>
      </c>
      <c r="W73" s="146">
        <f t="shared" si="48"/>
        <v>0</v>
      </c>
      <c r="X73" s="146">
        <f t="shared" si="49"/>
        <v>0</v>
      </c>
      <c r="Y73" s="146"/>
      <c r="Z73" s="146"/>
      <c r="AA73" s="153"/>
    </row>
    <row r="74" spans="1:27">
      <c r="A74" s="149" t="str">
        <f t="shared" si="50"/>
        <v/>
      </c>
      <c r="B74" s="150" cm="1">
        <f t="array" aca="1" ref="B74" ca="1">IF(OR(A74="",$B$3=0),0,
IF(AND(OR($B$2="ASGNLB1",$B$2="ASGNLB2"),$B$3&gt;30,$A74&gt;49),0,
IF(AND(照護有術顯示判斷=2,'試算表(16歲-65歲)'!A74&gt;=20,'試算表(16歲-65歲)'!A74&lt;=29),0,
VLOOKUP("P"&amp;REPT("0",2-LEN(商品年期))&amp;商品年期&amp;"S"&amp;"1"&amp;"A"&amp;REPT("0",2-LEN(A74))&amp;A74,INDIRECT(主約費率表),6,FALSE)*$B$3)))</f>
        <v>0</v>
      </c>
      <c r="C74" s="150">
        <f t="shared" si="34"/>
        <v>0</v>
      </c>
      <c r="D74" s="150">
        <f t="shared" si="35"/>
        <v>0</v>
      </c>
      <c r="E74" s="150">
        <f t="shared" si="36"/>
        <v>0</v>
      </c>
      <c r="F74" s="150">
        <f t="shared" si="37"/>
        <v>0</v>
      </c>
      <c r="G74" s="151">
        <f t="shared" si="38"/>
        <v>0</v>
      </c>
      <c r="H74" s="151" cm="1">
        <f t="array" ref="H74">IF(OR(A74="",$H$3=0),0,IF(ISERROR($H$3),0,ROUND(INDEX(MT_NP,1,職業等級)+(MAX(0,MT保額-3)*INDEX(MT_NP,2,職業等級)),0)))</f>
        <v>0</v>
      </c>
      <c r="I74" s="150">
        <f t="shared" si="39"/>
        <v>0</v>
      </c>
      <c r="J74" s="150">
        <f t="shared" si="40"/>
        <v>0</v>
      </c>
      <c r="K74" s="150">
        <f t="shared" si="41"/>
        <v>0</v>
      </c>
      <c r="L74" s="150"/>
      <c r="M74" s="150"/>
      <c r="N74" s="152"/>
      <c r="O74" s="146">
        <f ca="1">IF(OR(A74="",$O$3=0),0,
IF(AND(OR($O$2="ASGNLB1",$O$2="ASGNLB2"),$O$3&gt;30,$A74&gt;49),0,
IF(AND(照護有術顯示判斷=2,'試算表(16歲-65歲)'!A74&gt;=20,'試算表(16歲-65歲)'!A74&lt;=29),0,
VLOOKUP("P"&amp;REPT("0",2-LEN(商品年期))&amp;商品年期&amp;"S"&amp;"2"&amp;"A"&amp;REPT("0",2-LEN(A74))&amp;A74,INDIRECT(主約費率表),6,FALSE)*$O$3)))</f>
        <v>0</v>
      </c>
      <c r="P74" s="146">
        <f t="shared" si="42"/>
        <v>0</v>
      </c>
      <c r="Q74" s="146">
        <f t="shared" si="43"/>
        <v>0</v>
      </c>
      <c r="R74" s="146">
        <f t="shared" si="44"/>
        <v>0</v>
      </c>
      <c r="S74" s="146">
        <f t="shared" si="45"/>
        <v>0</v>
      </c>
      <c r="T74" s="146">
        <f t="shared" si="46"/>
        <v>0</v>
      </c>
      <c r="U74" s="146" cm="1">
        <f t="array" ref="U74">IF(OR(A74="",$U$3=0),0,IF(ISERROR($U$3),0,ROUND(INDEX(MT_NP,1,職業等級)+(MAX(0,MT保額-3)*INDEX(MT_NP,2,職業等級)),0)))</f>
        <v>0</v>
      </c>
      <c r="V74" s="146">
        <f t="shared" si="47"/>
        <v>0</v>
      </c>
      <c r="W74" s="146">
        <f t="shared" si="48"/>
        <v>0</v>
      </c>
      <c r="X74" s="146">
        <f t="shared" si="49"/>
        <v>0</v>
      </c>
      <c r="Y74" s="146"/>
      <c r="Z74" s="146"/>
      <c r="AA74" s="153"/>
    </row>
    <row r="75" spans="1:27">
      <c r="A75" s="149" t="str">
        <f t="shared" si="50"/>
        <v/>
      </c>
      <c r="B75" s="150" cm="1">
        <f t="array" aca="1" ref="B75" ca="1">IF(OR(A75="",$B$3=0),0,
IF(AND(OR($B$2="ASGNLB1",$B$2="ASGNLB2"),$B$3&gt;30,$A75&gt;49),0,
IF(AND(照護有術顯示判斷=2,'試算表(16歲-65歲)'!A75&gt;=20,'試算表(16歲-65歲)'!A75&lt;=29),0,
VLOOKUP("P"&amp;REPT("0",2-LEN(商品年期))&amp;商品年期&amp;"S"&amp;"1"&amp;"A"&amp;REPT("0",2-LEN(A75))&amp;A75,INDIRECT(主約費率表),6,FALSE)*$B$3)))</f>
        <v>0</v>
      </c>
      <c r="C75" s="150">
        <f t="shared" si="34"/>
        <v>0</v>
      </c>
      <c r="D75" s="150">
        <f t="shared" si="35"/>
        <v>0</v>
      </c>
      <c r="E75" s="150">
        <f t="shared" si="36"/>
        <v>0</v>
      </c>
      <c r="F75" s="150">
        <f t="shared" si="37"/>
        <v>0</v>
      </c>
      <c r="G75" s="151">
        <f t="shared" si="38"/>
        <v>0</v>
      </c>
      <c r="H75" s="151" cm="1">
        <f t="array" ref="H75">IF(OR(A75="",$H$3=0),0,IF(ISERROR($H$3),0,ROUND(INDEX(MT_NP,1,職業等級)+(MAX(0,MT保額-3)*INDEX(MT_NP,2,職業等級)),0)))</f>
        <v>0</v>
      </c>
      <c r="I75" s="150">
        <f t="shared" si="39"/>
        <v>0</v>
      </c>
      <c r="J75" s="150">
        <f t="shared" si="40"/>
        <v>0</v>
      </c>
      <c r="K75" s="150">
        <f t="shared" si="41"/>
        <v>0</v>
      </c>
      <c r="L75" s="150"/>
      <c r="M75" s="150"/>
      <c r="N75" s="152"/>
      <c r="O75" s="146">
        <f ca="1">IF(OR(A75="",$O$3=0),0,
IF(AND(OR($O$2="ASGNLB1",$O$2="ASGNLB2"),$O$3&gt;30,$A75&gt;49),0,
IF(AND(照護有術顯示判斷=2,'試算表(16歲-65歲)'!A75&gt;=20,'試算表(16歲-65歲)'!A75&lt;=29),0,
VLOOKUP("P"&amp;REPT("0",2-LEN(商品年期))&amp;商品年期&amp;"S"&amp;"2"&amp;"A"&amp;REPT("0",2-LEN(A75))&amp;A75,INDIRECT(主約費率表),6,FALSE)*$O$3)))</f>
        <v>0</v>
      </c>
      <c r="P75" s="146">
        <f t="shared" si="42"/>
        <v>0</v>
      </c>
      <c r="Q75" s="146">
        <f t="shared" si="43"/>
        <v>0</v>
      </c>
      <c r="R75" s="146">
        <f t="shared" si="44"/>
        <v>0</v>
      </c>
      <c r="S75" s="146">
        <f t="shared" si="45"/>
        <v>0</v>
      </c>
      <c r="T75" s="146">
        <f t="shared" si="46"/>
        <v>0</v>
      </c>
      <c r="U75" s="146" cm="1">
        <f t="array" ref="U75">IF(OR(A75="",$U$3=0),0,IF(ISERROR($U$3),0,ROUND(INDEX(MT_NP,1,職業等級)+(MAX(0,MT保額-3)*INDEX(MT_NP,2,職業等級)),0)))</f>
        <v>0</v>
      </c>
      <c r="V75" s="146">
        <f t="shared" si="47"/>
        <v>0</v>
      </c>
      <c r="W75" s="146">
        <f t="shared" si="48"/>
        <v>0</v>
      </c>
      <c r="X75" s="146">
        <f t="shared" si="49"/>
        <v>0</v>
      </c>
      <c r="Y75" s="146"/>
      <c r="Z75" s="146"/>
      <c r="AA75" s="153"/>
    </row>
    <row r="76" spans="1:27">
      <c r="A76" s="149" t="str">
        <f t="shared" si="50"/>
        <v/>
      </c>
      <c r="B76" s="150" cm="1">
        <f t="array" aca="1" ref="B76" ca="1">IF(OR(A76="",$B$3=0),0,
IF(AND(OR($B$2="ASGNLB1",$B$2="ASGNLB2"),$B$3&gt;30,$A76&gt;49),0,
IF(AND(照護有術顯示判斷=2,'試算表(16歲-65歲)'!A76&gt;=20,'試算表(16歲-65歲)'!A76&lt;=29),0,
VLOOKUP("P"&amp;REPT("0",2-LEN(商品年期))&amp;商品年期&amp;"S"&amp;"1"&amp;"A"&amp;REPT("0",2-LEN(A76))&amp;A76,INDIRECT(主約費率表),6,FALSE)*$B$3)))</f>
        <v>0</v>
      </c>
      <c r="C76" s="150">
        <f t="shared" si="34"/>
        <v>0</v>
      </c>
      <c r="D76" s="150">
        <f t="shared" si="35"/>
        <v>0</v>
      </c>
      <c r="E76" s="150">
        <f t="shared" si="36"/>
        <v>0</v>
      </c>
      <c r="F76" s="150">
        <f t="shared" si="37"/>
        <v>0</v>
      </c>
      <c r="G76" s="151">
        <f t="shared" si="38"/>
        <v>0</v>
      </c>
      <c r="H76" s="151" cm="1">
        <f t="array" ref="H76">IF(OR(A76="",$H$3=0),0,IF(ISERROR($H$3),0,ROUND(INDEX(MT_NP,1,職業等級)+(MAX(0,MT保額-3)*INDEX(MT_NP,2,職業等級)),0)))</f>
        <v>0</v>
      </c>
      <c r="I76" s="150">
        <f t="shared" si="39"/>
        <v>0</v>
      </c>
      <c r="J76" s="150">
        <f t="shared" si="40"/>
        <v>0</v>
      </c>
      <c r="K76" s="150">
        <f t="shared" si="41"/>
        <v>0</v>
      </c>
      <c r="L76" s="150"/>
      <c r="M76" s="150"/>
      <c r="N76" s="152"/>
      <c r="O76" s="146">
        <f ca="1">IF(OR(A76="",$O$3=0),0,
IF(AND(OR($O$2="ASGNLB1",$O$2="ASGNLB2"),$O$3&gt;30,$A76&gt;49),0,
IF(AND(照護有術顯示判斷=2,'試算表(16歲-65歲)'!A76&gt;=20,'試算表(16歲-65歲)'!A76&lt;=29),0,
VLOOKUP("P"&amp;REPT("0",2-LEN(商品年期))&amp;商品年期&amp;"S"&amp;"2"&amp;"A"&amp;REPT("0",2-LEN(A76))&amp;A76,INDIRECT(主約費率表),6,FALSE)*$O$3)))</f>
        <v>0</v>
      </c>
      <c r="P76" s="146">
        <f t="shared" si="42"/>
        <v>0</v>
      </c>
      <c r="Q76" s="146">
        <f t="shared" si="43"/>
        <v>0</v>
      </c>
      <c r="R76" s="146">
        <f t="shared" si="44"/>
        <v>0</v>
      </c>
      <c r="S76" s="146">
        <f t="shared" si="45"/>
        <v>0</v>
      </c>
      <c r="T76" s="146">
        <f t="shared" si="46"/>
        <v>0</v>
      </c>
      <c r="U76" s="146" cm="1">
        <f t="array" ref="U76">IF(OR(A76="",$U$3=0),0,IF(ISERROR($U$3),0,ROUND(INDEX(MT_NP,1,職業等級)+(MAX(0,MT保額-3)*INDEX(MT_NP,2,職業等級)),0)))</f>
        <v>0</v>
      </c>
      <c r="V76" s="146">
        <f t="shared" si="47"/>
        <v>0</v>
      </c>
      <c r="W76" s="146">
        <f t="shared" si="48"/>
        <v>0</v>
      </c>
      <c r="X76" s="146">
        <f t="shared" si="49"/>
        <v>0</v>
      </c>
      <c r="Y76" s="146"/>
      <c r="Z76" s="146"/>
      <c r="AA76" s="153"/>
    </row>
    <row r="77" spans="1:27">
      <c r="A77" s="149" t="str">
        <f t="shared" si="50"/>
        <v/>
      </c>
      <c r="B77" s="150" cm="1">
        <f t="array" aca="1" ref="B77" ca="1">IF(OR(A77="",$B$3=0),0,
IF(AND(OR($B$2="ASGNLB1",$B$2="ASGNLB2"),$B$3&gt;30,$A77&gt;49),0,
IF(AND(照護有術顯示判斷=2,'試算表(16歲-65歲)'!A77&gt;=20,'試算表(16歲-65歲)'!A77&lt;=29),0,
VLOOKUP("P"&amp;REPT("0",2-LEN(商品年期))&amp;商品年期&amp;"S"&amp;"1"&amp;"A"&amp;REPT("0",2-LEN(A77))&amp;A77,INDIRECT(主約費率表),6,FALSE)*$B$3)))</f>
        <v>0</v>
      </c>
      <c r="C77" s="150">
        <f t="shared" si="34"/>
        <v>0</v>
      </c>
      <c r="D77" s="150">
        <f t="shared" si="35"/>
        <v>0</v>
      </c>
      <c r="E77" s="150">
        <f t="shared" si="36"/>
        <v>0</v>
      </c>
      <c r="F77" s="150">
        <f t="shared" si="37"/>
        <v>0</v>
      </c>
      <c r="G77" s="151">
        <f t="shared" si="38"/>
        <v>0</v>
      </c>
      <c r="H77" s="151" cm="1">
        <f t="array" ref="H77">IF(OR(A77="",$H$3=0),0,IF(ISERROR($H$3),0,ROUND(INDEX(MT_NP,1,職業等級)+(MAX(0,MT保額-3)*INDEX(MT_NP,2,職業等級)),0)))</f>
        <v>0</v>
      </c>
      <c r="I77" s="150">
        <f t="shared" si="39"/>
        <v>0</v>
      </c>
      <c r="J77" s="150">
        <f t="shared" si="40"/>
        <v>0</v>
      </c>
      <c r="K77" s="150">
        <f t="shared" si="41"/>
        <v>0</v>
      </c>
      <c r="L77" s="150"/>
      <c r="M77" s="150"/>
      <c r="N77" s="152"/>
      <c r="O77" s="146">
        <f ca="1">IF(OR(A77="",$O$3=0),0,
IF(AND(OR($O$2="ASGNLB1",$O$2="ASGNLB2"),$O$3&gt;30,$A77&gt;49),0,
IF(AND(照護有術顯示判斷=2,'試算表(16歲-65歲)'!A77&gt;=20,'試算表(16歲-65歲)'!A77&lt;=29),0,
VLOOKUP("P"&amp;REPT("0",2-LEN(商品年期))&amp;商品年期&amp;"S"&amp;"2"&amp;"A"&amp;REPT("0",2-LEN(A77))&amp;A77,INDIRECT(主約費率表),6,FALSE)*$O$3)))</f>
        <v>0</v>
      </c>
      <c r="P77" s="146">
        <f t="shared" si="42"/>
        <v>0</v>
      </c>
      <c r="Q77" s="146">
        <f t="shared" si="43"/>
        <v>0</v>
      </c>
      <c r="R77" s="146">
        <f t="shared" si="44"/>
        <v>0</v>
      </c>
      <c r="S77" s="146">
        <f t="shared" si="45"/>
        <v>0</v>
      </c>
      <c r="T77" s="146">
        <f t="shared" si="46"/>
        <v>0</v>
      </c>
      <c r="U77" s="146" cm="1">
        <f t="array" ref="U77">IF(OR(A77="",$U$3=0),0,IF(ISERROR($U$3),0,ROUND(INDEX(MT_NP,1,職業等級)+(MAX(0,MT保額-3)*INDEX(MT_NP,2,職業等級)),0)))</f>
        <v>0</v>
      </c>
      <c r="V77" s="146">
        <f t="shared" si="47"/>
        <v>0</v>
      </c>
      <c r="W77" s="146">
        <f t="shared" si="48"/>
        <v>0</v>
      </c>
      <c r="X77" s="146">
        <f t="shared" si="49"/>
        <v>0</v>
      </c>
      <c r="Y77" s="146"/>
      <c r="Z77" s="146"/>
      <c r="AA77" s="153"/>
    </row>
    <row r="78" spans="1:27">
      <c r="A78" s="149" t="str">
        <f t="shared" si="50"/>
        <v/>
      </c>
      <c r="B78" s="150" cm="1">
        <f t="array" aca="1" ref="B78" ca="1">IF(OR(A78="",$B$3=0),0,
IF(AND(OR($B$2="ASGNLB1",$B$2="ASGNLB2"),$B$3&gt;30,$A78&gt;49),0,
IF(AND(照護有術顯示判斷=2,'試算表(16歲-65歲)'!A78&gt;=20,'試算表(16歲-65歲)'!A78&lt;=29),0,
VLOOKUP("P"&amp;REPT("0",2-LEN(商品年期))&amp;商品年期&amp;"S"&amp;"1"&amp;"A"&amp;REPT("0",2-LEN(A78))&amp;A78,INDIRECT(主約費率表),6,FALSE)*$B$3)))</f>
        <v>0</v>
      </c>
      <c r="C78" s="150">
        <f t="shared" si="34"/>
        <v>0</v>
      </c>
      <c r="D78" s="150">
        <f t="shared" si="35"/>
        <v>0</v>
      </c>
      <c r="E78" s="150">
        <f t="shared" si="36"/>
        <v>0</v>
      </c>
      <c r="F78" s="150">
        <f t="shared" si="37"/>
        <v>0</v>
      </c>
      <c r="G78" s="151">
        <f t="shared" si="38"/>
        <v>0</v>
      </c>
      <c r="H78" s="151" cm="1">
        <f t="array" ref="H78">IF(OR(A78="",$H$3=0),0,IF(ISERROR($H$3),0,ROUND(INDEX(MT_NP,1,職業等級)+(MAX(0,MT保額-3)*INDEX(MT_NP,2,職業等級)),0)))</f>
        <v>0</v>
      </c>
      <c r="I78" s="150">
        <f t="shared" si="39"/>
        <v>0</v>
      </c>
      <c r="J78" s="150">
        <f t="shared" si="40"/>
        <v>0</v>
      </c>
      <c r="K78" s="150">
        <f t="shared" si="41"/>
        <v>0</v>
      </c>
      <c r="L78" s="150"/>
      <c r="M78" s="150"/>
      <c r="N78" s="152"/>
      <c r="O78" s="146">
        <f ca="1">IF(OR(A78="",$O$3=0),0,
IF(AND(OR($O$2="ASGNLB1",$O$2="ASGNLB2"),$O$3&gt;30,$A78&gt;49),0,
IF(AND(照護有術顯示判斷=2,'試算表(16歲-65歲)'!A78&gt;=20,'試算表(16歲-65歲)'!A78&lt;=29),0,
VLOOKUP("P"&amp;REPT("0",2-LEN(商品年期))&amp;商品年期&amp;"S"&amp;"2"&amp;"A"&amp;REPT("0",2-LEN(A78))&amp;A78,INDIRECT(主約費率表),6,FALSE)*$O$3)))</f>
        <v>0</v>
      </c>
      <c r="P78" s="146">
        <f t="shared" si="42"/>
        <v>0</v>
      </c>
      <c r="Q78" s="146">
        <f t="shared" si="43"/>
        <v>0</v>
      </c>
      <c r="R78" s="146">
        <f t="shared" si="44"/>
        <v>0</v>
      </c>
      <c r="S78" s="146">
        <f t="shared" si="45"/>
        <v>0</v>
      </c>
      <c r="T78" s="146">
        <f t="shared" si="46"/>
        <v>0</v>
      </c>
      <c r="U78" s="146" cm="1">
        <f t="array" ref="U78">IF(OR(A78="",$U$3=0),0,IF(ISERROR($U$3),0,ROUND(INDEX(MT_NP,1,職業等級)+(MAX(0,MT保額-3)*INDEX(MT_NP,2,職業等級)),0)))</f>
        <v>0</v>
      </c>
      <c r="V78" s="146">
        <f t="shared" si="47"/>
        <v>0</v>
      </c>
      <c r="W78" s="146">
        <f t="shared" si="48"/>
        <v>0</v>
      </c>
      <c r="X78" s="146">
        <f t="shared" si="49"/>
        <v>0</v>
      </c>
      <c r="Y78" s="146"/>
      <c r="Z78" s="146"/>
      <c r="AA78" s="153"/>
    </row>
    <row r="79" spans="1:27">
      <c r="A79" s="149" t="str">
        <f t="shared" si="50"/>
        <v/>
      </c>
      <c r="B79" s="150" cm="1">
        <f t="array" aca="1" ref="B79" ca="1">IF(OR(A79="",$B$3=0),0,
IF(AND(OR($B$2="ASGNLB1",$B$2="ASGNLB2"),$B$3&gt;30,$A79&gt;49),0,
IF(AND(照護有術顯示判斷=2,'試算表(16歲-65歲)'!A79&gt;=20,'試算表(16歲-65歲)'!A79&lt;=29),0,
VLOOKUP("P"&amp;REPT("0",2-LEN(商品年期))&amp;商品年期&amp;"S"&amp;"1"&amp;"A"&amp;REPT("0",2-LEN(A79))&amp;A79,INDIRECT(主約費率表),6,FALSE)*$B$3)))</f>
        <v>0</v>
      </c>
      <c r="C79" s="150">
        <f t="shared" si="34"/>
        <v>0</v>
      </c>
      <c r="D79" s="150">
        <f t="shared" si="35"/>
        <v>0</v>
      </c>
      <c r="E79" s="150">
        <f t="shared" si="36"/>
        <v>0</v>
      </c>
      <c r="F79" s="150">
        <f t="shared" si="37"/>
        <v>0</v>
      </c>
      <c r="G79" s="151">
        <f t="shared" si="38"/>
        <v>0</v>
      </c>
      <c r="H79" s="151" cm="1">
        <f t="array" ref="H79">IF(OR(A79="",$H$3=0),0,IF(ISERROR($H$3),0,ROUND(INDEX(MT_NP,1,職業等級)+(MAX(0,MT保額-3)*INDEX(MT_NP,2,職業等級)),0)))</f>
        <v>0</v>
      </c>
      <c r="I79" s="150">
        <f t="shared" si="39"/>
        <v>0</v>
      </c>
      <c r="J79" s="150">
        <f t="shared" si="40"/>
        <v>0</v>
      </c>
      <c r="K79" s="150">
        <f t="shared" si="41"/>
        <v>0</v>
      </c>
      <c r="L79" s="150"/>
      <c r="M79" s="150"/>
      <c r="N79" s="152"/>
      <c r="O79" s="146">
        <f ca="1">IF(OR(A79="",$O$3=0),0,
IF(AND(OR($O$2="ASGNLB1",$O$2="ASGNLB2"),$O$3&gt;30,$A79&gt;49),0,
IF(AND(照護有術顯示判斷=2,'試算表(16歲-65歲)'!A79&gt;=20,'試算表(16歲-65歲)'!A79&lt;=29),0,
VLOOKUP("P"&amp;REPT("0",2-LEN(商品年期))&amp;商品年期&amp;"S"&amp;"2"&amp;"A"&amp;REPT("0",2-LEN(A79))&amp;A79,INDIRECT(主約費率表),6,FALSE)*$O$3)))</f>
        <v>0</v>
      </c>
      <c r="P79" s="146">
        <f t="shared" si="42"/>
        <v>0</v>
      </c>
      <c r="Q79" s="146">
        <f t="shared" si="43"/>
        <v>0</v>
      </c>
      <c r="R79" s="146">
        <f t="shared" si="44"/>
        <v>0</v>
      </c>
      <c r="S79" s="146">
        <f t="shared" si="45"/>
        <v>0</v>
      </c>
      <c r="T79" s="146">
        <f t="shared" si="46"/>
        <v>0</v>
      </c>
      <c r="U79" s="146" cm="1">
        <f t="array" ref="U79">IF(OR(A79="",$U$3=0),0,IF(ISERROR($U$3),0,ROUND(INDEX(MT_NP,1,職業等級)+(MAX(0,MT保額-3)*INDEX(MT_NP,2,職業等級)),0)))</f>
        <v>0</v>
      </c>
      <c r="V79" s="146">
        <f t="shared" si="47"/>
        <v>0</v>
      </c>
      <c r="W79" s="146">
        <f t="shared" si="48"/>
        <v>0</v>
      </c>
      <c r="X79" s="146">
        <f t="shared" si="49"/>
        <v>0</v>
      </c>
      <c r="Y79" s="146"/>
      <c r="Z79" s="146"/>
      <c r="AA79" s="153"/>
    </row>
    <row r="80" spans="1:27">
      <c r="A80" s="149" t="str">
        <f t="shared" si="50"/>
        <v/>
      </c>
      <c r="B80" s="150" cm="1">
        <f t="array" aca="1" ref="B80" ca="1">IF(OR(A80="",$B$3=0),0,
IF(AND(OR($B$2="ASGNLB1",$B$2="ASGNLB2"),$B$3&gt;30,$A80&gt;49),0,
IF(AND(照護有術顯示判斷=2,'試算表(16歲-65歲)'!A80&gt;=20,'試算表(16歲-65歲)'!A80&lt;=29),0,
VLOOKUP("P"&amp;REPT("0",2-LEN(商品年期))&amp;商品年期&amp;"S"&amp;"1"&amp;"A"&amp;REPT("0",2-LEN(A80))&amp;A80,INDIRECT(主約費率表),6,FALSE)*$B$3)))</f>
        <v>0</v>
      </c>
      <c r="C80" s="150">
        <f t="shared" si="34"/>
        <v>0</v>
      </c>
      <c r="D80" s="150">
        <f t="shared" si="35"/>
        <v>0</v>
      </c>
      <c r="E80" s="150">
        <f t="shared" si="36"/>
        <v>0</v>
      </c>
      <c r="F80" s="150">
        <f t="shared" si="37"/>
        <v>0</v>
      </c>
      <c r="G80" s="151">
        <f t="shared" si="38"/>
        <v>0</v>
      </c>
      <c r="H80" s="151" cm="1">
        <f t="array" ref="H80">IF(OR(A80="",$H$3=0),0,IF(ISERROR($H$3),0,ROUND(INDEX(MT_NP,1,職業等級)+(MAX(0,MT保額-3)*INDEX(MT_NP,2,職業等級)),0)))</f>
        <v>0</v>
      </c>
      <c r="I80" s="150">
        <f t="shared" si="39"/>
        <v>0</v>
      </c>
      <c r="J80" s="150">
        <f t="shared" si="40"/>
        <v>0</v>
      </c>
      <c r="K80" s="150">
        <f t="shared" si="41"/>
        <v>0</v>
      </c>
      <c r="L80" s="150"/>
      <c r="M80" s="150"/>
      <c r="N80" s="152"/>
      <c r="O80" s="146">
        <f ca="1">IF(OR(A80="",$O$3=0),0,
IF(AND(OR($O$2="ASGNLB1",$O$2="ASGNLB2"),$O$3&gt;30,$A80&gt;49),0,
IF(AND(照護有術顯示判斷=2,'試算表(16歲-65歲)'!A80&gt;=20,'試算表(16歲-65歲)'!A80&lt;=29),0,
VLOOKUP("P"&amp;REPT("0",2-LEN(商品年期))&amp;商品年期&amp;"S"&amp;"2"&amp;"A"&amp;REPT("0",2-LEN(A80))&amp;A80,INDIRECT(主約費率表),6,FALSE)*$O$3)))</f>
        <v>0</v>
      </c>
      <c r="P80" s="146">
        <f t="shared" si="42"/>
        <v>0</v>
      </c>
      <c r="Q80" s="146">
        <f t="shared" si="43"/>
        <v>0</v>
      </c>
      <c r="R80" s="146">
        <f t="shared" si="44"/>
        <v>0</v>
      </c>
      <c r="S80" s="146">
        <f t="shared" si="45"/>
        <v>0</v>
      </c>
      <c r="T80" s="146">
        <f t="shared" si="46"/>
        <v>0</v>
      </c>
      <c r="U80" s="146" cm="1">
        <f t="array" ref="U80">IF(OR(A80="",$U$3=0),0,IF(ISERROR($U$3),0,ROUND(INDEX(MT_NP,1,職業等級)+(MAX(0,MT保額-3)*INDEX(MT_NP,2,職業等級)),0)))</f>
        <v>0</v>
      </c>
      <c r="V80" s="146">
        <f t="shared" si="47"/>
        <v>0</v>
      </c>
      <c r="W80" s="146">
        <f t="shared" si="48"/>
        <v>0</v>
      </c>
      <c r="X80" s="146">
        <f t="shared" si="49"/>
        <v>0</v>
      </c>
      <c r="Y80" s="146"/>
      <c r="Z80" s="146"/>
      <c r="AA80" s="153"/>
    </row>
    <row r="81" spans="1:27">
      <c r="A81" s="149" t="str">
        <f t="shared" si="50"/>
        <v/>
      </c>
      <c r="B81" s="150" cm="1">
        <f t="array" aca="1" ref="B81" ca="1">IF(OR(A81="",$B$3=0),0,
IF(AND(OR($B$2="ASGNLB1",$B$2="ASGNLB2"),$B$3&gt;30,$A81&gt;49),0,
IF(AND(照護有術顯示判斷=2,'試算表(16歲-65歲)'!A81&gt;=20,'試算表(16歲-65歲)'!A81&lt;=29),0,
VLOOKUP("P"&amp;REPT("0",2-LEN(商品年期))&amp;商品年期&amp;"S"&amp;"1"&amp;"A"&amp;REPT("0",2-LEN(A81))&amp;A81,INDIRECT(主約費率表),6,FALSE)*$B$3)))</f>
        <v>0</v>
      </c>
      <c r="C81" s="150">
        <f t="shared" si="34"/>
        <v>0</v>
      </c>
      <c r="D81" s="150">
        <f t="shared" si="35"/>
        <v>0</v>
      </c>
      <c r="E81" s="150">
        <f t="shared" si="36"/>
        <v>0</v>
      </c>
      <c r="F81" s="150">
        <f t="shared" si="37"/>
        <v>0</v>
      </c>
      <c r="G81" s="151">
        <f t="shared" si="38"/>
        <v>0</v>
      </c>
      <c r="H81" s="151" cm="1">
        <f t="array" ref="H81">IF(OR(A81="",$H$3=0),0,IF(ISERROR($H$3),0,ROUND(INDEX(MT_NP,1,職業等級)+(MAX(0,MT保額-3)*INDEX(MT_NP,2,職業等級)),0)))</f>
        <v>0</v>
      </c>
      <c r="I81" s="150">
        <f t="shared" si="39"/>
        <v>0</v>
      </c>
      <c r="J81" s="150">
        <f t="shared" si="40"/>
        <v>0</v>
      </c>
      <c r="K81" s="150">
        <f t="shared" si="41"/>
        <v>0</v>
      </c>
      <c r="L81" s="150"/>
      <c r="M81" s="150"/>
      <c r="N81" s="152"/>
      <c r="O81" s="146">
        <f ca="1">IF(OR(A81="",$O$3=0),0,
IF(AND(OR($O$2="ASGNLB1",$O$2="ASGNLB2"),$O$3&gt;30,$A81&gt;49),0,
IF(AND(照護有術顯示判斷=2,'試算表(16歲-65歲)'!A81&gt;=20,'試算表(16歲-65歲)'!A81&lt;=29),0,
VLOOKUP("P"&amp;REPT("0",2-LEN(商品年期))&amp;商品年期&amp;"S"&amp;"2"&amp;"A"&amp;REPT("0",2-LEN(A81))&amp;A81,INDIRECT(主約費率表),6,FALSE)*$O$3)))</f>
        <v>0</v>
      </c>
      <c r="P81" s="146">
        <f t="shared" si="42"/>
        <v>0</v>
      </c>
      <c r="Q81" s="146">
        <f t="shared" si="43"/>
        <v>0</v>
      </c>
      <c r="R81" s="146">
        <f t="shared" si="44"/>
        <v>0</v>
      </c>
      <c r="S81" s="146">
        <f t="shared" si="45"/>
        <v>0</v>
      </c>
      <c r="T81" s="146">
        <f t="shared" si="46"/>
        <v>0</v>
      </c>
      <c r="U81" s="146" cm="1">
        <f t="array" ref="U81">IF(OR(A81="",$U$3=0),0,IF(ISERROR($U$3),0,ROUND(INDEX(MT_NP,1,職業等級)+(MAX(0,MT保額-3)*INDEX(MT_NP,2,職業等級)),0)))</f>
        <v>0</v>
      </c>
      <c r="V81" s="146">
        <f t="shared" si="47"/>
        <v>0</v>
      </c>
      <c r="W81" s="146">
        <f t="shared" si="48"/>
        <v>0</v>
      </c>
      <c r="X81" s="146">
        <f t="shared" si="49"/>
        <v>0</v>
      </c>
      <c r="Y81" s="146"/>
      <c r="Z81" s="146"/>
      <c r="AA81" s="153"/>
    </row>
    <row r="82" spans="1:27">
      <c r="A82" s="149" t="str">
        <f t="shared" si="50"/>
        <v/>
      </c>
      <c r="B82" s="150" cm="1">
        <f t="array" aca="1" ref="B82" ca="1">IF(OR(A82="",$B$3=0),0,
IF(AND(OR($B$2="ASGNLB1",$B$2="ASGNLB2"),$B$3&gt;30,$A82&gt;49),0,
IF(AND(照護有術顯示判斷=2,'試算表(16歲-65歲)'!A82&gt;=20,'試算表(16歲-65歲)'!A82&lt;=29),0,
VLOOKUP("P"&amp;REPT("0",2-LEN(商品年期))&amp;商品年期&amp;"S"&amp;"1"&amp;"A"&amp;REPT("0",2-LEN(A82))&amp;A82,INDIRECT(主約費率表),6,FALSE)*$B$3)))</f>
        <v>0</v>
      </c>
      <c r="C82" s="150">
        <f t="shared" si="34"/>
        <v>0</v>
      </c>
      <c r="D82" s="150">
        <f t="shared" si="35"/>
        <v>0</v>
      </c>
      <c r="E82" s="150">
        <f t="shared" si="36"/>
        <v>0</v>
      </c>
      <c r="F82" s="150">
        <f t="shared" si="37"/>
        <v>0</v>
      </c>
      <c r="G82" s="151">
        <f t="shared" si="38"/>
        <v>0</v>
      </c>
      <c r="H82" s="151" cm="1">
        <f t="array" ref="H82">IF(OR(A82="",$H$3=0),0,IF(ISERROR($H$3),0,ROUND(INDEX(MT_NP,1,職業等級)+(MAX(0,MT保額-3)*INDEX(MT_NP,2,職業等級)),0)))</f>
        <v>0</v>
      </c>
      <c r="I82" s="150">
        <f t="shared" si="39"/>
        <v>0</v>
      </c>
      <c r="J82" s="150">
        <f t="shared" si="40"/>
        <v>0</v>
      </c>
      <c r="K82" s="150">
        <f t="shared" si="41"/>
        <v>0</v>
      </c>
      <c r="L82" s="150"/>
      <c r="M82" s="150"/>
      <c r="N82" s="152"/>
      <c r="O82" s="146">
        <f ca="1">IF(OR(A82="",$O$3=0),0,
IF(AND(OR($O$2="ASGNLB1",$O$2="ASGNLB2"),$O$3&gt;30,$A82&gt;49),0,
IF(AND(照護有術顯示判斷=2,'試算表(16歲-65歲)'!A82&gt;=20,'試算表(16歲-65歲)'!A82&lt;=29),0,
VLOOKUP("P"&amp;REPT("0",2-LEN(商品年期))&amp;商品年期&amp;"S"&amp;"2"&amp;"A"&amp;REPT("0",2-LEN(A82))&amp;A82,INDIRECT(主約費率表),6,FALSE)*$O$3)))</f>
        <v>0</v>
      </c>
      <c r="P82" s="146">
        <f t="shared" si="42"/>
        <v>0</v>
      </c>
      <c r="Q82" s="146">
        <f t="shared" si="43"/>
        <v>0</v>
      </c>
      <c r="R82" s="146">
        <f t="shared" si="44"/>
        <v>0</v>
      </c>
      <c r="S82" s="146">
        <f t="shared" si="45"/>
        <v>0</v>
      </c>
      <c r="T82" s="146">
        <f t="shared" si="46"/>
        <v>0</v>
      </c>
      <c r="U82" s="146" cm="1">
        <f t="array" ref="U82">IF(OR(A82="",$U$3=0),0,IF(ISERROR($U$3),0,ROUND(INDEX(MT_NP,1,職業等級)+(MAX(0,MT保額-3)*INDEX(MT_NP,2,職業等級)),0)))</f>
        <v>0</v>
      </c>
      <c r="V82" s="146">
        <f t="shared" si="47"/>
        <v>0</v>
      </c>
      <c r="W82" s="146">
        <f t="shared" si="48"/>
        <v>0</v>
      </c>
      <c r="X82" s="146">
        <f t="shared" si="49"/>
        <v>0</v>
      </c>
      <c r="Y82" s="146"/>
      <c r="Z82" s="146"/>
      <c r="AA82" s="153"/>
    </row>
    <row r="83" spans="1:27">
      <c r="A83" s="149" t="str">
        <f t="shared" si="50"/>
        <v/>
      </c>
      <c r="B83" s="150" cm="1">
        <f t="array" aca="1" ref="B83" ca="1">IF(OR(A83="",$B$3=0),0,
IF(AND(OR($B$2="ASGNLB1",$B$2="ASGNLB2"),$B$3&gt;30,$A83&gt;49),0,
IF(AND(照護有術顯示判斷=2,'試算表(16歲-65歲)'!A83&gt;=20,'試算表(16歲-65歲)'!A83&lt;=29),0,
VLOOKUP("P"&amp;REPT("0",2-LEN(商品年期))&amp;商品年期&amp;"S"&amp;"1"&amp;"A"&amp;REPT("0",2-LEN(A83))&amp;A83,INDIRECT(主約費率表),6,FALSE)*$B$3)))</f>
        <v>0</v>
      </c>
      <c r="C83" s="150">
        <f t="shared" si="34"/>
        <v>0</v>
      </c>
      <c r="D83" s="150">
        <f t="shared" si="35"/>
        <v>0</v>
      </c>
      <c r="E83" s="150">
        <f t="shared" si="36"/>
        <v>0</v>
      </c>
      <c r="F83" s="150">
        <f t="shared" si="37"/>
        <v>0</v>
      </c>
      <c r="G83" s="151">
        <f t="shared" si="38"/>
        <v>0</v>
      </c>
      <c r="H83" s="151" cm="1">
        <f t="array" ref="H83">IF(OR(A83="",$H$3=0),0,IF(ISERROR($H$3),0,ROUND(INDEX(MT_NP,1,職業等級)+(MAX(0,MT保額-3)*INDEX(MT_NP,2,職業等級)),0)))</f>
        <v>0</v>
      </c>
      <c r="I83" s="150">
        <f t="shared" si="39"/>
        <v>0</v>
      </c>
      <c r="J83" s="150">
        <f t="shared" si="40"/>
        <v>0</v>
      </c>
      <c r="K83" s="150">
        <f t="shared" si="41"/>
        <v>0</v>
      </c>
      <c r="L83" s="150"/>
      <c r="M83" s="150"/>
      <c r="N83" s="152"/>
      <c r="O83" s="146">
        <f ca="1">IF(OR(A83="",$O$3=0),0,
IF(AND(OR($O$2="ASGNLB1",$O$2="ASGNLB2"),$O$3&gt;30,$A83&gt;49),0,
IF(AND(照護有術顯示判斷=2,'試算表(16歲-65歲)'!A83&gt;=20,'試算表(16歲-65歲)'!A83&lt;=29),0,
VLOOKUP("P"&amp;REPT("0",2-LEN(商品年期))&amp;商品年期&amp;"S"&amp;"2"&amp;"A"&amp;REPT("0",2-LEN(A83))&amp;A83,INDIRECT(主約費率表),6,FALSE)*$O$3)))</f>
        <v>0</v>
      </c>
      <c r="P83" s="146">
        <f t="shared" si="42"/>
        <v>0</v>
      </c>
      <c r="Q83" s="146">
        <f t="shared" si="43"/>
        <v>0</v>
      </c>
      <c r="R83" s="146">
        <f t="shared" si="44"/>
        <v>0</v>
      </c>
      <c r="S83" s="146">
        <f t="shared" si="45"/>
        <v>0</v>
      </c>
      <c r="T83" s="146">
        <f t="shared" si="46"/>
        <v>0</v>
      </c>
      <c r="U83" s="146" cm="1">
        <f t="array" ref="U83">IF(OR(A83="",$U$3=0),0,IF(ISERROR($U$3),0,ROUND(INDEX(MT_NP,1,職業等級)+(MAX(0,MT保額-3)*INDEX(MT_NP,2,職業等級)),0)))</f>
        <v>0</v>
      </c>
      <c r="V83" s="146">
        <f t="shared" si="47"/>
        <v>0</v>
      </c>
      <c r="W83" s="146">
        <f t="shared" si="48"/>
        <v>0</v>
      </c>
      <c r="X83" s="146">
        <f t="shared" si="49"/>
        <v>0</v>
      </c>
      <c r="Y83" s="146"/>
      <c r="Z83" s="146"/>
      <c r="AA83" s="153"/>
    </row>
    <row r="84" spans="1:27">
      <c r="A84" s="149" t="str">
        <f t="shared" si="50"/>
        <v/>
      </c>
      <c r="B84" s="150" cm="1">
        <f t="array" aca="1" ref="B84" ca="1">IF(OR(A84="",$B$3=0),0,
IF(AND(OR($B$2="ASGNLB1",$B$2="ASGNLB2"),$B$3&gt;30,$A84&gt;49),0,
IF(AND(照護有術顯示判斷=2,'試算表(16歲-65歲)'!A84&gt;=20,'試算表(16歲-65歲)'!A84&lt;=29),0,
VLOOKUP("P"&amp;REPT("0",2-LEN(商品年期))&amp;商品年期&amp;"S"&amp;"1"&amp;"A"&amp;REPT("0",2-LEN(A84))&amp;A84,INDIRECT(主約費率表),6,FALSE)*$B$3)))</f>
        <v>0</v>
      </c>
      <c r="C84" s="150">
        <f t="shared" si="34"/>
        <v>0</v>
      </c>
      <c r="D84" s="150">
        <f t="shared" si="35"/>
        <v>0</v>
      </c>
      <c r="E84" s="150">
        <f t="shared" si="36"/>
        <v>0</v>
      </c>
      <c r="F84" s="150">
        <f t="shared" si="37"/>
        <v>0</v>
      </c>
      <c r="G84" s="151">
        <f t="shared" si="38"/>
        <v>0</v>
      </c>
      <c r="H84" s="151" cm="1">
        <f t="array" ref="H84">IF(OR(A84="",$H$3=0),0,IF(ISERROR($H$3),0,ROUND(INDEX(MT_NP,1,職業等級)+(MAX(0,MT保額-3)*INDEX(MT_NP,2,職業等級)),0)))</f>
        <v>0</v>
      </c>
      <c r="I84" s="150">
        <f t="shared" si="39"/>
        <v>0</v>
      </c>
      <c r="J84" s="150">
        <f t="shared" si="40"/>
        <v>0</v>
      </c>
      <c r="K84" s="150">
        <f t="shared" si="41"/>
        <v>0</v>
      </c>
      <c r="L84" s="150"/>
      <c r="M84" s="150"/>
      <c r="N84" s="152"/>
      <c r="O84" s="146">
        <f ca="1">IF(OR(A84="",$O$3=0),0,
IF(AND(OR($O$2="ASGNLB1",$O$2="ASGNLB2"),$O$3&gt;30,$A84&gt;49),0,
IF(AND(照護有術顯示判斷=2,'試算表(16歲-65歲)'!A84&gt;=20,'試算表(16歲-65歲)'!A84&lt;=29),0,
VLOOKUP("P"&amp;REPT("0",2-LEN(商品年期))&amp;商品年期&amp;"S"&amp;"2"&amp;"A"&amp;REPT("0",2-LEN(A84))&amp;A84,INDIRECT(主約費率表),6,FALSE)*$O$3)))</f>
        <v>0</v>
      </c>
      <c r="P84" s="146">
        <f t="shared" si="42"/>
        <v>0</v>
      </c>
      <c r="Q84" s="146">
        <f t="shared" si="43"/>
        <v>0</v>
      </c>
      <c r="R84" s="146">
        <f t="shared" si="44"/>
        <v>0</v>
      </c>
      <c r="S84" s="146">
        <f t="shared" si="45"/>
        <v>0</v>
      </c>
      <c r="T84" s="146">
        <f t="shared" si="46"/>
        <v>0</v>
      </c>
      <c r="U84" s="146" cm="1">
        <f t="array" ref="U84">IF(OR(A84="",$U$3=0),0,IF(ISERROR($U$3),0,ROUND(INDEX(MT_NP,1,職業等級)+(MAX(0,MT保額-3)*INDEX(MT_NP,2,職業等級)),0)))</f>
        <v>0</v>
      </c>
      <c r="V84" s="146">
        <f t="shared" si="47"/>
        <v>0</v>
      </c>
      <c r="W84" s="146">
        <f t="shared" si="48"/>
        <v>0</v>
      </c>
      <c r="X84" s="146">
        <f t="shared" si="49"/>
        <v>0</v>
      </c>
      <c r="Y84" s="146"/>
      <c r="Z84" s="146"/>
      <c r="AA84" s="153"/>
    </row>
    <row r="85" spans="1:27">
      <c r="A85" s="149" t="str">
        <f t="shared" si="50"/>
        <v/>
      </c>
      <c r="B85" s="150" cm="1">
        <f t="array" aca="1" ref="B85" ca="1">IF(OR(A85="",$B$3=0),0,
IF(AND(OR($B$2="ASGNLB1",$B$2="ASGNLB2"),$B$3&gt;30,$A85&gt;49),0,
IF(AND(照護有術顯示判斷=2,'試算表(16歲-65歲)'!A85&gt;=20,'試算表(16歲-65歲)'!A85&lt;=29),0,
VLOOKUP("P"&amp;REPT("0",2-LEN(商品年期))&amp;商品年期&amp;"S"&amp;"1"&amp;"A"&amp;REPT("0",2-LEN(A85))&amp;A85,INDIRECT(主約費率表),6,FALSE)*$B$3)))</f>
        <v>0</v>
      </c>
      <c r="C85" s="150">
        <f t="shared" si="34"/>
        <v>0</v>
      </c>
      <c r="D85" s="150">
        <f t="shared" si="35"/>
        <v>0</v>
      </c>
      <c r="E85" s="150">
        <f t="shared" si="36"/>
        <v>0</v>
      </c>
      <c r="F85" s="150">
        <f t="shared" si="37"/>
        <v>0</v>
      </c>
      <c r="G85" s="151">
        <f t="shared" si="38"/>
        <v>0</v>
      </c>
      <c r="H85" s="151" cm="1">
        <f t="array" ref="H85">IF(OR(A85="",$H$3=0),0,IF(ISERROR($H$3),0,ROUND(INDEX(MT_NP,1,職業等級)+(MAX(0,MT保額-3)*INDEX(MT_NP,2,職業等級)),0)))</f>
        <v>0</v>
      </c>
      <c r="I85" s="150">
        <f t="shared" si="39"/>
        <v>0</v>
      </c>
      <c r="J85" s="150">
        <f t="shared" si="40"/>
        <v>0</v>
      </c>
      <c r="K85" s="150">
        <f t="shared" si="41"/>
        <v>0</v>
      </c>
      <c r="L85" s="150"/>
      <c r="M85" s="150"/>
      <c r="N85" s="152"/>
      <c r="O85" s="146">
        <f ca="1">IF(OR(A85="",$O$3=0),0,
IF(AND(OR($O$2="ASGNLB1",$O$2="ASGNLB2"),$O$3&gt;30,$A85&gt;49),0,
IF(AND(照護有術顯示判斷=2,'試算表(16歲-65歲)'!A85&gt;=20,'試算表(16歲-65歲)'!A85&lt;=29),0,
VLOOKUP("P"&amp;REPT("0",2-LEN(商品年期))&amp;商品年期&amp;"S"&amp;"2"&amp;"A"&amp;REPT("0",2-LEN(A85))&amp;A85,INDIRECT(主約費率表),6,FALSE)*$O$3)))</f>
        <v>0</v>
      </c>
      <c r="P85" s="146">
        <f t="shared" si="42"/>
        <v>0</v>
      </c>
      <c r="Q85" s="146">
        <f t="shared" si="43"/>
        <v>0</v>
      </c>
      <c r="R85" s="146">
        <f t="shared" si="44"/>
        <v>0</v>
      </c>
      <c r="S85" s="146">
        <f t="shared" si="45"/>
        <v>0</v>
      </c>
      <c r="T85" s="146">
        <f t="shared" si="46"/>
        <v>0</v>
      </c>
      <c r="U85" s="146" cm="1">
        <f t="array" ref="U85">IF(OR(A85="",$U$3=0),0,IF(ISERROR($U$3),0,ROUND(INDEX(MT_NP,1,職業等級)+(MAX(0,MT保額-3)*INDEX(MT_NP,2,職業等級)),0)))</f>
        <v>0</v>
      </c>
      <c r="V85" s="146">
        <f t="shared" si="47"/>
        <v>0</v>
      </c>
      <c r="W85" s="146">
        <f t="shared" si="48"/>
        <v>0</v>
      </c>
      <c r="X85" s="146">
        <f t="shared" si="49"/>
        <v>0</v>
      </c>
      <c r="Y85" s="146"/>
      <c r="Z85" s="146"/>
      <c r="AA85" s="153"/>
    </row>
    <row r="86" spans="1:27">
      <c r="A86" s="149" t="str">
        <f t="shared" si="50"/>
        <v/>
      </c>
      <c r="B86" s="150" cm="1">
        <f t="array" aca="1" ref="B86" ca="1">IF(OR(A86="",$B$3=0),0,
IF(AND(OR($B$2="ASGNLB1",$B$2="ASGNLB2"),$B$3&gt;30,$A86&gt;49),0,
IF(AND(照護有術顯示判斷=2,'試算表(16歲-65歲)'!A86&gt;=20,'試算表(16歲-65歲)'!A86&lt;=29),0,
VLOOKUP("P"&amp;REPT("0",2-LEN(商品年期))&amp;商品年期&amp;"S"&amp;"1"&amp;"A"&amp;REPT("0",2-LEN(A86))&amp;A86,INDIRECT(主約費率表),6,FALSE)*$B$3)))</f>
        <v>0</v>
      </c>
      <c r="C86" s="150">
        <f t="shared" si="34"/>
        <v>0</v>
      </c>
      <c r="D86" s="150">
        <f t="shared" si="35"/>
        <v>0</v>
      </c>
      <c r="E86" s="150">
        <f t="shared" si="36"/>
        <v>0</v>
      </c>
      <c r="F86" s="150">
        <f t="shared" si="37"/>
        <v>0</v>
      </c>
      <c r="G86" s="151">
        <f t="shared" si="38"/>
        <v>0</v>
      </c>
      <c r="H86" s="151" cm="1">
        <f t="array" ref="H86">IF(OR(A86="",$H$3=0),0,IF(ISERROR($H$3),0,ROUND(INDEX(MT_NP,1,職業等級)+(MAX(0,MT保額-3)*INDEX(MT_NP,2,職業等級)),0)))</f>
        <v>0</v>
      </c>
      <c r="I86" s="150">
        <f t="shared" si="39"/>
        <v>0</v>
      </c>
      <c r="J86" s="150">
        <f t="shared" si="40"/>
        <v>0</v>
      </c>
      <c r="K86" s="150">
        <f t="shared" si="41"/>
        <v>0</v>
      </c>
      <c r="L86" s="150"/>
      <c r="M86" s="150"/>
      <c r="N86" s="152"/>
      <c r="O86" s="146">
        <f ca="1">IF(OR(A86="",$O$3=0),0,
IF(AND(OR($O$2="ASGNLB1",$O$2="ASGNLB2"),$O$3&gt;30,$A86&gt;49),0,
IF(AND(照護有術顯示判斷=2,'試算表(16歲-65歲)'!A86&gt;=20,'試算表(16歲-65歲)'!A86&lt;=29),0,
VLOOKUP("P"&amp;REPT("0",2-LEN(商品年期))&amp;商品年期&amp;"S"&amp;"2"&amp;"A"&amp;REPT("0",2-LEN(A86))&amp;A86,INDIRECT(主約費率表),6,FALSE)*$O$3)))</f>
        <v>0</v>
      </c>
      <c r="P86" s="146">
        <f t="shared" si="42"/>
        <v>0</v>
      </c>
      <c r="Q86" s="146">
        <f t="shared" si="43"/>
        <v>0</v>
      </c>
      <c r="R86" s="146">
        <f t="shared" si="44"/>
        <v>0</v>
      </c>
      <c r="S86" s="146">
        <f t="shared" si="45"/>
        <v>0</v>
      </c>
      <c r="T86" s="146">
        <f t="shared" si="46"/>
        <v>0</v>
      </c>
      <c r="U86" s="146" cm="1">
        <f t="array" ref="U86">IF(OR(A86="",$U$3=0),0,IF(ISERROR($U$3),0,ROUND(INDEX(MT_NP,1,職業等級)+(MAX(0,MT保額-3)*INDEX(MT_NP,2,職業等級)),0)))</f>
        <v>0</v>
      </c>
      <c r="V86" s="146">
        <f t="shared" si="47"/>
        <v>0</v>
      </c>
      <c r="W86" s="146">
        <f t="shared" si="48"/>
        <v>0</v>
      </c>
      <c r="X86" s="146">
        <f t="shared" si="49"/>
        <v>0</v>
      </c>
      <c r="Y86" s="146"/>
      <c r="Z86" s="146"/>
      <c r="AA86" s="153"/>
    </row>
    <row r="87" spans="1:27">
      <c r="A87" s="149" t="str">
        <f t="shared" si="50"/>
        <v/>
      </c>
      <c r="B87" s="150" cm="1">
        <f t="array" aca="1" ref="B87" ca="1">IF(OR(A87="",$B$3=0),0,
IF(AND(OR($B$2="ASGNLB1",$B$2="ASGNLB2"),$B$3&gt;30,$A87&gt;49),0,
IF(AND(照護有術顯示判斷=2,'試算表(16歲-65歲)'!A87&gt;=20,'試算表(16歲-65歲)'!A87&lt;=29),0,
VLOOKUP("P"&amp;REPT("0",2-LEN(商品年期))&amp;商品年期&amp;"S"&amp;"1"&amp;"A"&amp;REPT("0",2-LEN(A87))&amp;A87,INDIRECT(主約費率表),6,FALSE)*$B$3)))</f>
        <v>0</v>
      </c>
      <c r="C87" s="150">
        <f t="shared" si="34"/>
        <v>0</v>
      </c>
      <c r="D87" s="150">
        <f t="shared" si="35"/>
        <v>0</v>
      </c>
      <c r="E87" s="150">
        <f t="shared" si="36"/>
        <v>0</v>
      </c>
      <c r="F87" s="150">
        <f t="shared" si="37"/>
        <v>0</v>
      </c>
      <c r="G87" s="151">
        <f t="shared" si="38"/>
        <v>0</v>
      </c>
      <c r="H87" s="151" cm="1">
        <f t="array" ref="H87">IF(OR(A87="",$H$3=0),0,IF(ISERROR($H$3),0,ROUND(INDEX(MT_NP,1,職業等級)+(MAX(0,MT保額-3)*INDEX(MT_NP,2,職業等級)),0)))</f>
        <v>0</v>
      </c>
      <c r="I87" s="150">
        <f t="shared" si="39"/>
        <v>0</v>
      </c>
      <c r="J87" s="150">
        <f t="shared" si="40"/>
        <v>0</v>
      </c>
      <c r="K87" s="150">
        <f t="shared" si="41"/>
        <v>0</v>
      </c>
      <c r="L87" s="150"/>
      <c r="M87" s="150"/>
      <c r="N87" s="152"/>
      <c r="O87" s="146">
        <f ca="1">IF(OR(A87="",$O$3=0),0,
IF(AND(OR($O$2="ASGNLB1",$O$2="ASGNLB2"),$O$3&gt;30,$A87&gt;49),0,
IF(AND(照護有術顯示判斷=2,'試算表(16歲-65歲)'!A87&gt;=20,'試算表(16歲-65歲)'!A87&lt;=29),0,
VLOOKUP("P"&amp;REPT("0",2-LEN(商品年期))&amp;商品年期&amp;"S"&amp;"2"&amp;"A"&amp;REPT("0",2-LEN(A87))&amp;A87,INDIRECT(主約費率表),6,FALSE)*$O$3)))</f>
        <v>0</v>
      </c>
      <c r="P87" s="146">
        <f t="shared" si="42"/>
        <v>0</v>
      </c>
      <c r="Q87" s="146">
        <f t="shared" si="43"/>
        <v>0</v>
      </c>
      <c r="R87" s="146">
        <f t="shared" si="44"/>
        <v>0</v>
      </c>
      <c r="S87" s="146">
        <f t="shared" si="45"/>
        <v>0</v>
      </c>
      <c r="T87" s="146">
        <f t="shared" si="46"/>
        <v>0</v>
      </c>
      <c r="U87" s="146" cm="1">
        <f t="array" ref="U87">IF(OR(A87="",$U$3=0),0,IF(ISERROR($U$3),0,ROUND(INDEX(MT_NP,1,職業等級)+(MAX(0,MT保額-3)*INDEX(MT_NP,2,職業等級)),0)))</f>
        <v>0</v>
      </c>
      <c r="V87" s="146">
        <f t="shared" si="47"/>
        <v>0</v>
      </c>
      <c r="W87" s="146">
        <f t="shared" si="48"/>
        <v>0</v>
      </c>
      <c r="X87" s="146">
        <f t="shared" si="49"/>
        <v>0</v>
      </c>
      <c r="Y87" s="146"/>
      <c r="Z87" s="146"/>
      <c r="AA87" s="153"/>
    </row>
    <row r="88" spans="1:27">
      <c r="A88" s="149" t="str">
        <f t="shared" si="50"/>
        <v/>
      </c>
      <c r="B88" s="150" cm="1">
        <f t="array" aca="1" ref="B88" ca="1">IF(OR(A88="",$B$3=0),0,
IF(AND(OR($B$2="ASGNLB1",$B$2="ASGNLB2"),$B$3&gt;30,$A88&gt;49),0,
IF(AND(照護有術顯示判斷=2,'試算表(16歲-65歲)'!A88&gt;=20,'試算表(16歲-65歲)'!A88&lt;=29),0,
VLOOKUP("P"&amp;REPT("0",2-LEN(商品年期))&amp;商品年期&amp;"S"&amp;"1"&amp;"A"&amp;REPT("0",2-LEN(A88))&amp;A88,INDIRECT(主約費率表),6,FALSE)*$B$3)))</f>
        <v>0</v>
      </c>
      <c r="C88" s="150">
        <f t="shared" si="34"/>
        <v>0</v>
      </c>
      <c r="D88" s="150">
        <f t="shared" si="35"/>
        <v>0</v>
      </c>
      <c r="E88" s="150">
        <f t="shared" si="36"/>
        <v>0</v>
      </c>
      <c r="F88" s="150">
        <f t="shared" si="37"/>
        <v>0</v>
      </c>
      <c r="G88" s="151">
        <f t="shared" si="38"/>
        <v>0</v>
      </c>
      <c r="H88" s="151" cm="1">
        <f t="array" ref="H88">IF(OR(A88="",$H$3=0),0,IF(ISERROR($H$3),0,ROUND(INDEX(MT_NP,1,職業等級)+(MAX(0,MT保額-3)*INDEX(MT_NP,2,職業等級)),0)))</f>
        <v>0</v>
      </c>
      <c r="I88" s="150">
        <f t="shared" si="39"/>
        <v>0</v>
      </c>
      <c r="J88" s="150">
        <f t="shared" si="40"/>
        <v>0</v>
      </c>
      <c r="K88" s="150">
        <f t="shared" si="41"/>
        <v>0</v>
      </c>
      <c r="L88" s="150"/>
      <c r="M88" s="150"/>
      <c r="N88" s="152"/>
      <c r="O88" s="146">
        <f ca="1">IF(OR(A88="",$O$3=0),0,
IF(AND(OR($O$2="ASGNLB1",$O$2="ASGNLB2"),$O$3&gt;30,$A88&gt;49),0,
IF(AND(照護有術顯示判斷=2,'試算表(16歲-65歲)'!A88&gt;=20,'試算表(16歲-65歲)'!A88&lt;=29),0,
VLOOKUP("P"&amp;REPT("0",2-LEN(商品年期))&amp;商品年期&amp;"S"&amp;"2"&amp;"A"&amp;REPT("0",2-LEN(A88))&amp;A88,INDIRECT(主約費率表),6,FALSE)*$O$3)))</f>
        <v>0</v>
      </c>
      <c r="P88" s="146">
        <f t="shared" si="42"/>
        <v>0</v>
      </c>
      <c r="Q88" s="146">
        <f t="shared" si="43"/>
        <v>0</v>
      </c>
      <c r="R88" s="146">
        <f t="shared" si="44"/>
        <v>0</v>
      </c>
      <c r="S88" s="146">
        <f t="shared" si="45"/>
        <v>0</v>
      </c>
      <c r="T88" s="146">
        <f t="shared" si="46"/>
        <v>0</v>
      </c>
      <c r="U88" s="146" cm="1">
        <f t="array" ref="U88">IF(OR(A88="",$U$3=0),0,IF(ISERROR($U$3),0,ROUND(INDEX(MT_NP,1,職業等級)+(MAX(0,MT保額-3)*INDEX(MT_NP,2,職業等級)),0)))</f>
        <v>0</v>
      </c>
      <c r="V88" s="146">
        <f t="shared" si="47"/>
        <v>0</v>
      </c>
      <c r="W88" s="146">
        <f t="shared" si="48"/>
        <v>0</v>
      </c>
      <c r="X88" s="146">
        <f t="shared" si="49"/>
        <v>0</v>
      </c>
      <c r="Y88" s="146"/>
      <c r="Z88" s="146"/>
      <c r="AA88" s="153"/>
    </row>
    <row r="89" spans="1:27">
      <c r="A89" s="149" t="str">
        <f t="shared" si="50"/>
        <v/>
      </c>
      <c r="B89" s="150" cm="1">
        <f t="array" aca="1" ref="B89" ca="1">IF(OR(A89="",$B$3=0),0,
IF(AND(OR($B$2="ASGNLB1",$B$2="ASGNLB2"),$B$3&gt;30,$A89&gt;49),0,
IF(AND(照護有術顯示判斷=2,'試算表(16歲-65歲)'!A89&gt;=20,'試算表(16歲-65歲)'!A89&lt;=29),0,
VLOOKUP("P"&amp;REPT("0",2-LEN(商品年期))&amp;商品年期&amp;"S"&amp;"1"&amp;"A"&amp;REPT("0",2-LEN(A89))&amp;A89,INDIRECT(主約費率表),6,FALSE)*$B$3)))</f>
        <v>0</v>
      </c>
      <c r="C89" s="150">
        <f t="shared" si="34"/>
        <v>0</v>
      </c>
      <c r="D89" s="150">
        <f t="shared" si="35"/>
        <v>0</v>
      </c>
      <c r="E89" s="150">
        <f t="shared" si="36"/>
        <v>0</v>
      </c>
      <c r="F89" s="150">
        <f t="shared" si="37"/>
        <v>0</v>
      </c>
      <c r="G89" s="151">
        <f t="shared" si="38"/>
        <v>0</v>
      </c>
      <c r="H89" s="151" cm="1">
        <f t="array" ref="H89">IF(OR(A89="",$H$3=0),0,IF(ISERROR($H$3),0,ROUND(INDEX(MT_NP,1,職業等級)+(MAX(0,MT保額-3)*INDEX(MT_NP,2,職業等級)),0)))</f>
        <v>0</v>
      </c>
      <c r="I89" s="150">
        <f t="shared" si="39"/>
        <v>0</v>
      </c>
      <c r="J89" s="150">
        <f t="shared" si="40"/>
        <v>0</v>
      </c>
      <c r="K89" s="150">
        <f t="shared" si="41"/>
        <v>0</v>
      </c>
      <c r="L89" s="150"/>
      <c r="M89" s="150"/>
      <c r="N89" s="152"/>
      <c r="O89" s="146">
        <f ca="1">IF(OR(A89="",$O$3=0),0,
IF(AND(OR($O$2="ASGNLB1",$O$2="ASGNLB2"),$O$3&gt;30,$A89&gt;49),0,
IF(AND(照護有術顯示判斷=2,'試算表(16歲-65歲)'!A89&gt;=20,'試算表(16歲-65歲)'!A89&lt;=29),0,
VLOOKUP("P"&amp;REPT("0",2-LEN(商品年期))&amp;商品年期&amp;"S"&amp;"2"&amp;"A"&amp;REPT("0",2-LEN(A89))&amp;A89,INDIRECT(主約費率表),6,FALSE)*$O$3)))</f>
        <v>0</v>
      </c>
      <c r="P89" s="146">
        <f t="shared" si="42"/>
        <v>0</v>
      </c>
      <c r="Q89" s="146">
        <f t="shared" si="43"/>
        <v>0</v>
      </c>
      <c r="R89" s="146">
        <f t="shared" si="44"/>
        <v>0</v>
      </c>
      <c r="S89" s="146">
        <f t="shared" si="45"/>
        <v>0</v>
      </c>
      <c r="T89" s="146">
        <f t="shared" si="46"/>
        <v>0</v>
      </c>
      <c r="U89" s="146" cm="1">
        <f t="array" ref="U89">IF(OR(A89="",$U$3=0),0,IF(ISERROR($U$3),0,ROUND(INDEX(MT_NP,1,職業等級)+(MAX(0,MT保額-3)*INDEX(MT_NP,2,職業等級)),0)))</f>
        <v>0</v>
      </c>
      <c r="V89" s="146">
        <f t="shared" si="47"/>
        <v>0</v>
      </c>
      <c r="W89" s="146">
        <f t="shared" si="48"/>
        <v>0</v>
      </c>
      <c r="X89" s="146">
        <f t="shared" si="49"/>
        <v>0</v>
      </c>
      <c r="Y89" s="146"/>
      <c r="Z89" s="146"/>
      <c r="AA89" s="153"/>
    </row>
    <row r="90" spans="1:27">
      <c r="A90" s="149" t="str">
        <f t="shared" si="50"/>
        <v/>
      </c>
      <c r="B90" s="150" cm="1">
        <f t="array" aca="1" ref="B90" ca="1">IF(OR(A90="",$B$3=0),0,
IF(AND(OR($B$2="ASGNLB1",$B$2="ASGNLB2"),$B$3&gt;30,$A90&gt;49),0,
IF(AND(照護有術顯示判斷=2,'試算表(16歲-65歲)'!A90&gt;=20,'試算表(16歲-65歲)'!A90&lt;=29),0,
VLOOKUP("P"&amp;REPT("0",2-LEN(商品年期))&amp;商品年期&amp;"S"&amp;"1"&amp;"A"&amp;REPT("0",2-LEN(A90))&amp;A90,INDIRECT(主約費率表),6,FALSE)*$B$3)))</f>
        <v>0</v>
      </c>
      <c r="C90" s="150">
        <f t="shared" si="34"/>
        <v>0</v>
      </c>
      <c r="D90" s="150">
        <f t="shared" si="35"/>
        <v>0</v>
      </c>
      <c r="E90" s="150">
        <f t="shared" si="36"/>
        <v>0</v>
      </c>
      <c r="F90" s="150">
        <f t="shared" si="37"/>
        <v>0</v>
      </c>
      <c r="G90" s="151">
        <f t="shared" si="38"/>
        <v>0</v>
      </c>
      <c r="H90" s="151" cm="1">
        <f t="array" ref="H90">IF(OR(A90="",$H$3=0),0,IF(ISERROR($H$3),0,ROUND(INDEX(MT_NP,1,職業等級)+(MAX(0,MT保額-3)*INDEX(MT_NP,2,職業等級)),0)))</f>
        <v>0</v>
      </c>
      <c r="I90" s="150">
        <f t="shared" si="39"/>
        <v>0</v>
      </c>
      <c r="J90" s="150">
        <f t="shared" si="40"/>
        <v>0</v>
      </c>
      <c r="K90" s="150">
        <f t="shared" si="41"/>
        <v>0</v>
      </c>
      <c r="L90" s="150"/>
      <c r="M90" s="150"/>
      <c r="N90" s="152"/>
      <c r="O90" s="146">
        <f ca="1">IF(OR(A90="",$O$3=0),0,
IF(AND(OR($O$2="ASGNLB1",$O$2="ASGNLB2"),$O$3&gt;30,$A90&gt;49),0,
IF(AND(照護有術顯示判斷=2,'試算表(16歲-65歲)'!A90&gt;=20,'試算表(16歲-65歲)'!A90&lt;=29),0,
VLOOKUP("P"&amp;REPT("0",2-LEN(商品年期))&amp;商品年期&amp;"S"&amp;"2"&amp;"A"&amp;REPT("0",2-LEN(A90))&amp;A90,INDIRECT(主約費率表),6,FALSE)*$O$3)))</f>
        <v>0</v>
      </c>
      <c r="P90" s="146">
        <f t="shared" si="42"/>
        <v>0</v>
      </c>
      <c r="Q90" s="146">
        <f t="shared" si="43"/>
        <v>0</v>
      </c>
      <c r="R90" s="146">
        <f t="shared" si="44"/>
        <v>0</v>
      </c>
      <c r="S90" s="146">
        <f t="shared" si="45"/>
        <v>0</v>
      </c>
      <c r="T90" s="146">
        <f t="shared" si="46"/>
        <v>0</v>
      </c>
      <c r="U90" s="146" cm="1">
        <f t="array" ref="U90">IF(OR(A90="",$U$3=0),0,IF(ISERROR($U$3),0,ROUND(INDEX(MT_NP,1,職業等級)+(MAX(0,MT保額-3)*INDEX(MT_NP,2,職業等級)),0)))</f>
        <v>0</v>
      </c>
      <c r="V90" s="146">
        <f t="shared" si="47"/>
        <v>0</v>
      </c>
      <c r="W90" s="146">
        <f t="shared" si="48"/>
        <v>0</v>
      </c>
      <c r="X90" s="146">
        <f t="shared" si="49"/>
        <v>0</v>
      </c>
      <c r="Y90" s="146"/>
      <c r="Z90" s="146"/>
      <c r="AA90" s="153"/>
    </row>
  </sheetData>
  <sheetProtection algorithmName="SHA-512" hashValue="Qh2z7UTd38RuDlSkbvF3OXSfadwhi0J5VSWG8/SnZkKdlzJiOMBm6zKHUJ82pfH/TeVATkpUdRyFPcBwGtdDYw==" saltValue="3yae+VDKft8T/WaM1hJEGg==" spinCount="100000" sheet="1" objects="1" scenarios="1"/>
  <mergeCells count="2">
    <mergeCell ref="B1:N1"/>
    <mergeCell ref="O1:AA1"/>
  </mergeCells>
  <phoneticPr fontId="2"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CA6A8-68A0-44DA-A68E-58F71E350190}">
  <sheetPr>
    <tabColor rgb="FFFF5757"/>
  </sheetPr>
  <dimension ref="A1:AA90"/>
  <sheetViews>
    <sheetView topLeftCell="AB1" zoomScale="90" zoomScaleNormal="90" workbookViewId="0">
      <selection activeCell="C5" sqref="C5:J5"/>
    </sheetView>
  </sheetViews>
  <sheetFormatPr defaultColWidth="11.453125" defaultRowHeight="12.5"/>
  <cols>
    <col min="1" max="27" width="11.453125" style="155" hidden="1" customWidth="1"/>
    <col min="28" max="28" width="11.453125" style="155" customWidth="1"/>
    <col min="29" max="16384" width="11.453125" style="155"/>
  </cols>
  <sheetData>
    <row r="1" spans="1:27" ht="13">
      <c r="A1" s="154"/>
      <c r="B1" s="280" t="s">
        <v>274</v>
      </c>
      <c r="C1" s="280"/>
      <c r="D1" s="280"/>
      <c r="E1" s="280"/>
      <c r="F1" s="280"/>
      <c r="G1" s="280"/>
      <c r="H1" s="280"/>
      <c r="I1" s="280"/>
      <c r="J1" s="280"/>
      <c r="K1" s="280"/>
      <c r="L1" s="280"/>
      <c r="M1" s="280"/>
      <c r="N1" s="281"/>
      <c r="O1" s="282" t="s">
        <v>275</v>
      </c>
      <c r="P1" s="283"/>
      <c r="Q1" s="283"/>
      <c r="R1" s="283"/>
      <c r="S1" s="283"/>
      <c r="T1" s="283"/>
      <c r="U1" s="283"/>
      <c r="V1" s="283"/>
      <c r="W1" s="283"/>
      <c r="X1" s="283"/>
      <c r="Y1" s="283"/>
      <c r="Z1" s="283"/>
      <c r="AA1" s="283"/>
    </row>
    <row r="2" spans="1:27">
      <c r="A2" s="149"/>
      <c r="B2" s="152" t="str">
        <f>商品代號</f>
        <v>AHIRLB1</v>
      </c>
      <c r="C2" s="152" t="str">
        <f>BNLTRN1商品代號</f>
        <v>BNLTRN1</v>
      </c>
      <c r="D2" s="152" t="str">
        <f>ADDNTR1商品代號</f>
        <v>ADDNTR1</v>
      </c>
      <c r="E2" s="152" t="str">
        <f>AMRNTR1商品代號</f>
        <v>AMRNTR1</v>
      </c>
      <c r="F2" s="152" t="str">
        <f>DPAA商品代號</f>
        <v>DPAA</v>
      </c>
      <c r="G2" s="152" t="str">
        <f>ML商品代號</f>
        <v>ML</v>
      </c>
      <c r="H2" s="152" t="str">
        <f>MT商品代號</f>
        <v>MT</v>
      </c>
      <c r="I2" s="152" t="str">
        <f>ACCNTR1商品代號</f>
        <v>ACCNTR1</v>
      </c>
      <c r="J2" s="152" t="str">
        <f>ACCNTR2商品代號</f>
        <v>ACCNTR2</v>
      </c>
      <c r="K2" s="152" t="str">
        <f>ACCNTR3商品代號</f>
        <v>ACCNTR3</v>
      </c>
      <c r="L2" s="152"/>
      <c r="M2" s="152"/>
      <c r="N2" s="152"/>
      <c r="O2" s="146" t="str">
        <f>商品代號</f>
        <v>AHIRLB1</v>
      </c>
      <c r="P2" s="146" t="str">
        <f>BNLTRN1商品代號</f>
        <v>BNLTRN1</v>
      </c>
      <c r="Q2" s="146" t="str">
        <f>ADDNTR1商品代號</f>
        <v>ADDNTR1</v>
      </c>
      <c r="R2" s="146" t="str">
        <f>AMRNTR1商品代號</f>
        <v>AMRNTR1</v>
      </c>
      <c r="S2" s="146" t="str">
        <f>DPAA商品代號</f>
        <v>DPAA</v>
      </c>
      <c r="T2" s="146" t="str">
        <f>ML商品代號</f>
        <v>ML</v>
      </c>
      <c r="U2" s="146" t="str">
        <f>MT商品代號</f>
        <v>MT</v>
      </c>
      <c r="V2" s="146" t="str">
        <f>ACCNTR1商品代號</f>
        <v>ACCNTR1</v>
      </c>
      <c r="W2" s="146" t="str">
        <f>ACCNTR2商品代號</f>
        <v>ACCNTR2</v>
      </c>
      <c r="X2" s="146" t="str">
        <f>ACCNTR3商品代號</f>
        <v>ACCNTR3</v>
      </c>
      <c r="Y2" s="146"/>
      <c r="Z2" s="146"/>
      <c r="AA2" s="153"/>
    </row>
    <row r="3" spans="1:27" ht="13">
      <c r="A3" s="147" t="s">
        <v>276</v>
      </c>
      <c r="B3" s="148">
        <f ca="1">IF(總檢核,VLOOKUP(B2,OP!$E$44:$H$52,4,FALSE),0)</f>
        <v>10</v>
      </c>
      <c r="C3" s="148">
        <f>IF(BNLTRN1檢核,VLOOKUP(C2,OP!$E$44:$H$52,4,FALSE),0)</f>
        <v>0</v>
      </c>
      <c r="D3" s="148">
        <f>IF(ADDNTR1檢核,VLOOKUP(D2,OP!$E$44:$H$52,4,FALSE),0)</f>
        <v>0</v>
      </c>
      <c r="E3" s="148">
        <f>IF(AMRNTR1檢核,VLOOKUP(E2,OP!$E$44:$H$52,4,FALSE),0)</f>
        <v>0</v>
      </c>
      <c r="F3" s="148">
        <f>IF(DPAA檢核,VLOOKUP(F2,OP!$E$44:$H$52,4,FALSE),0)</f>
        <v>0</v>
      </c>
      <c r="G3" s="148">
        <f>IF(ML檢核,VLOOKUP(G2,OP!$E$44:$H$52,4,FALSE),0)</f>
        <v>0</v>
      </c>
      <c r="H3" s="148">
        <f>IF(MT檢核,VLOOKUP(H2,OP!$E$44:$H$52,4,FALSE),0)</f>
        <v>0</v>
      </c>
      <c r="I3" s="148">
        <f>IF(ACCNTR1檢核,VLOOKUP(I2,OP!$E$44:$H$52,4,FALSE),0)</f>
        <v>0</v>
      </c>
      <c r="J3" s="148">
        <f>IF(ACCNTR2檢核,VLOOKUP(J2,OP!$E$44:$H$52,4,FALSE),0)</f>
        <v>0</v>
      </c>
      <c r="K3" s="148">
        <f>IF(ACCNTR3檢核,VLOOKUP(K2,OP!$E$44:$H$53,4,FALSE),0)</f>
        <v>0</v>
      </c>
      <c r="L3" s="148"/>
      <c r="M3" s="148"/>
      <c r="N3" s="148"/>
      <c r="O3" s="148">
        <f ca="1">IF(總檢核,VLOOKUP(O2,OP!$E$44:$H$52,4,FALSE),0)</f>
        <v>10</v>
      </c>
      <c r="P3" s="148">
        <f>IF(BNLTRN1檢核,VLOOKUP(P2,OP!$E$44:$H$52,4,FALSE),0)</f>
        <v>0</v>
      </c>
      <c r="Q3" s="148">
        <f>IF(ADDNTR1檢核,VLOOKUP(Q2,OP!$E$44:$H$52,4,FALSE),0)</f>
        <v>0</v>
      </c>
      <c r="R3" s="148">
        <f>IF(AMRNTR1檢核,VLOOKUP(R2,OP!$E$44:$H$52,4,FALSE),0)</f>
        <v>0</v>
      </c>
      <c r="S3" s="148">
        <f>IF(DPAA檢核,VLOOKUP(S2,OP!$E$44:$H$52,4,FALSE),0)</f>
        <v>0</v>
      </c>
      <c r="T3" s="148">
        <f>IF(ML檢核,VLOOKUP(T2,OP!$E$44:$H$52,4,FALSE),0)</f>
        <v>0</v>
      </c>
      <c r="U3" s="148">
        <f>IF(MT檢核,VLOOKUP(U2,OP!$E$44:$H$52,4,FALSE),0)</f>
        <v>0</v>
      </c>
      <c r="V3" s="148">
        <f>IF(ACCNTR1檢核,VLOOKUP(V2,OP!$E$44:$H$52,4,FALSE),0)</f>
        <v>0</v>
      </c>
      <c r="W3" s="148">
        <f>IF(ACCNTR2檢核,VLOOKUP(W2,OP!$E$44:$H$52,4,FALSE),0)</f>
        <v>0</v>
      </c>
      <c r="X3" s="148">
        <f>IF(ACCNTR3檢核,VLOOKUP(X2,OP!$E$44:$H$53,4,FALSE),0)</f>
        <v>0</v>
      </c>
      <c r="Y3" s="148"/>
      <c r="Z3" s="148"/>
      <c r="AA3" s="148"/>
    </row>
    <row r="4" spans="1:27">
      <c r="A4" s="149" t="str">
        <f>IF(分齡表最大顯示年齡&gt;=66,MAX(66,分齡表最小顯示年齡),"")</f>
        <v/>
      </c>
      <c r="B4" s="150">
        <f ca="1">IF(OR(A4="",$B$3=0),0,
IF(AND(OR($B$2="ASGNLB1",$B$2="ASGNLB2"),$B$3&gt;30,$A4&gt;49),0,
IF(AND(照護有術顯示判斷=2,'試算表(16歲-65歲)'!A4&gt;=20,'試算表(16歲-65歲)'!A4&lt;=29),0,
VLOOKUP("P"&amp;REPT("0",2-LEN(商品年期))&amp;商品年期&amp;"S"&amp;"1"&amp;"A"&amp;REPT("0",2-LEN(A4))&amp;A4,INDIRECT(主約費率表),6,FALSE)*$B$3)))</f>
        <v>0</v>
      </c>
      <c r="C4" s="150">
        <f t="shared" ref="C4:C67" si="0">IF(OR(A4="",$C$3=0),0,IF(ISERROR($C$3),0,ROUND($C$3*VLOOKUP("P"&amp;REPT("0",2-LEN(BNLTRN1繳費年期))&amp;BNLTRN1繳費年期&amp;"S"&amp;"1"&amp;"A"&amp;REPT("0",2-LEN(A4))&amp;A4,BNLTRN1_NP,6,FALSE),0)))</f>
        <v>0</v>
      </c>
      <c r="D4" s="150">
        <f t="shared" ref="D4:D67" si="1">IF(OR(A4="",$D$3=0),0,IF(ISERROR($D$3),0,ROUND($D$3*VLOOKUP(""&amp;A4,ADDNTR1_NP,2,FALSE),0)))</f>
        <v>0</v>
      </c>
      <c r="E4" s="150">
        <f t="shared" ref="E4:E67" si="2">IF(OR(A4="",$E$3=0),0,IF(ISERROR($E$3),0,ROUND(VLOOKUP("P"&amp;AMRNTR1計劃&amp;"S"&amp;"1"&amp;"A"&amp;REPT("0",2-LEN(A4))&amp;A4,AMRNTR1_NP,6,FALSE),0)))</f>
        <v>0</v>
      </c>
      <c r="F4" s="150">
        <f t="shared" ref="F4:F67" si="3">IF(OR(A4="",$F$3=0),0,IF(ISERROR($F$3),0,ROUND($F$3*VLOOKUP(IF(A4&lt;15,1,IF(A4=15,2,3)),DPAA_NP,2+職業等級,FALSE),0)))</f>
        <v>0</v>
      </c>
      <c r="G4" s="151">
        <f t="shared" ref="G4:G67" si="4">IF(OR(A4="",$G$3=0),0,IF(ISERROR($G$3),0,ROUND(VLOOKUP("ML-"&amp;ML計劃,ML_NP,1+職業等級,FALSE),0)))</f>
        <v>0</v>
      </c>
      <c r="H4" s="151" cm="1">
        <f t="array" ref="H4">IF(OR(A4="",$H$3=0),0,IF(ISERROR($H$3),0,ROUND(INDEX(MT_NP,1,職業等級)+(MAX(0,MT保額-3)*INDEX(MT_NP,2,職業等級)),0)))</f>
        <v>0</v>
      </c>
      <c r="I4" s="150">
        <f t="shared" ref="I4:I67" si="5">IF(OR(A4="",$I$3=0),0,IF(ISERROR($I$3),0,ROUND($I$3*IF(ISERROR(VLOOKUP("P10"&amp;"S"&amp;"1"&amp;"A"&amp;REPT("0",2-LEN(A4))&amp;A4,ACCNTR1_NP,5,FALSE)),0,VLOOKUP("P10"&amp;"S"&amp;"1"&amp;"A"&amp;REPT("0",2-LEN(A4))&amp;A4,ACCNTR1_NP,5,FALSE)),0)))</f>
        <v>0</v>
      </c>
      <c r="J4" s="150">
        <f t="shared" ref="J4:J67" si="6">IF(OR(A4="",$J$3=0),0,IF(ISERROR($J$3),0,ROUND($J$3*VLOOKUP("P01"&amp;"S"&amp;"1"&amp;"A"&amp;REPT("0",2-LEN(A4))&amp;A4,ACCNTR2_NP,5,FALSE),0)))</f>
        <v>0</v>
      </c>
      <c r="K4" s="150">
        <f t="shared" ref="K4:K35" si="7">IF(OR(A4="",$K$3=0),0,IF(ISERROR($K$3),0,ROUND($K$3*VLOOKUP("P01"&amp;"S"&amp;"1"&amp;"A"&amp;REPT("0",2-LEN(A4))&amp;A4,ACCNTR3_NP,5,FALSE),0)))</f>
        <v>0</v>
      </c>
      <c r="L4" s="150"/>
      <c r="M4" s="150"/>
      <c r="N4" s="152"/>
      <c r="O4" s="146">
        <f ca="1">IF(OR(A4="",$O$3=0),0,
IF(AND(OR($O$2="ASGNLB1",$O$2="ASGNLB2"),$O$3&gt;30,$A4&gt;49),0,
IF(AND(照護有術顯示判斷=2,'試算表(16歲-65歲)'!A4&gt;=20,'試算表(16歲-65歲)'!A4&lt;=29),0,
VLOOKUP("P"&amp;REPT("0",2-LEN(商品年期))&amp;商品年期&amp;"S"&amp;"2"&amp;"A"&amp;REPT("0",2-LEN(A4))&amp;A4,INDIRECT(主約費率表),6,FALSE)*$O$3)))</f>
        <v>0</v>
      </c>
      <c r="P4" s="146">
        <f t="shared" ref="P4:P67" si="8">IF(OR(A4="",$P$3=0),0,IF(ISERROR($P$3),0,ROUND($P$3*VLOOKUP("P"&amp;REPT("0",2-LEN(BNLTRN1繳費年期))&amp;BNLTRN1繳費年期&amp;"S"&amp;"2"&amp;"A"&amp;REPT("0",2-LEN(A4))&amp;A4,BNLTRN1_NP,6,FALSE),0)))</f>
        <v>0</v>
      </c>
      <c r="Q4" s="146">
        <f t="shared" ref="Q4:Q67" si="9">IF(OR(A4="",$Q$3=0),0,IF(ISERROR($Q$3),0,ROUND($Q$3*VLOOKUP(""&amp;A4,ADDNTR1_NP,3,FALSE),0)))</f>
        <v>0</v>
      </c>
      <c r="R4" s="146">
        <f t="shared" ref="R4:R67" si="10">IF(OR(A4="",$R$3=0),0,IF(ISERROR($R$3),0,ROUND(VLOOKUP("P"&amp;AMRNTR1計劃&amp;"S"&amp;"2"&amp;"A"&amp;REPT("0",2-LEN(A4))&amp;A4,AMRNTR1_NP,6,FALSE),0)))</f>
        <v>0</v>
      </c>
      <c r="S4" s="146">
        <f t="shared" ref="S4:S67" si="11">IF(OR(A4="",$S$3=0),0,IF(ISERROR($S$3),0,ROUND($S$3*VLOOKUP(IF(A4&lt;15,1,IF(A4=15,2,3)),DPAA_NP,2+職業等級,FALSE),0)))</f>
        <v>0</v>
      </c>
      <c r="T4" s="146">
        <f t="shared" ref="T4:T67" si="12">IF(OR(A4="",$T$3=0),0,IF(ISERROR($T$3),0,ROUND(VLOOKUP("ML-"&amp;ML計劃,ML_NP,1+職業等級,FALSE),0)))</f>
        <v>0</v>
      </c>
      <c r="U4" s="146" cm="1">
        <f t="array" ref="U4">IF(OR(A4="",$U$3=0),0,IF(ISERROR($U$3),0,ROUND(INDEX(MT_NP,1,職業等級)+(MAX(0,MT保額-3)*INDEX(MT_NP,2,職業等級)),0)))</f>
        <v>0</v>
      </c>
      <c r="V4" s="146">
        <f t="shared" ref="V4:V67" si="13">IF(OR(A4="",$V$3=0),0,IF(ISERROR($V$3),0,ROUND($V$3*IF(ISERROR(VLOOKUP("P10"&amp;"S"&amp;"2"&amp;"A"&amp;REPT("0",2-LEN(A4))&amp;A4,ACCNTR1_NP,5,FALSE)),0,VLOOKUP("P10"&amp;"S"&amp;"2"&amp;"A"&amp;REPT("0",2-LEN(A4))&amp;A4,ACCNTR1_NP,5,FALSE)),0)))</f>
        <v>0</v>
      </c>
      <c r="W4" s="146">
        <f t="shared" ref="W4:W67" si="14">IF(OR(A4="",$W$3=0),0,IF(ISERROR($W$3),0,ROUND($W$3*VLOOKUP("P01"&amp;"S"&amp;"2"&amp;"A"&amp;REPT("0",2-LEN(A4))&amp;A4,ACCNTR2_NP,5,FALSE),0)))</f>
        <v>0</v>
      </c>
      <c r="X4" s="146">
        <f t="shared" ref="X4:X35" si="15">IF(OR(A4="",$X$3=0),0,IF(ISERROR($X$3),0,ROUND($X$3*VLOOKUP("P01"&amp;"S"&amp;"2"&amp;"A"&amp;REPT("0",2-LEN(A4))&amp;A4,ACCNTR3_NP,5,FALSE),0)))</f>
        <v>0</v>
      </c>
      <c r="Y4" s="146"/>
      <c r="Z4" s="146"/>
      <c r="AA4" s="153"/>
    </row>
    <row r="5" spans="1:27">
      <c r="A5" s="149" t="str">
        <f t="shared" ref="A5:A68" si="16">IF(A4="","",IF(A4+1&gt;分齡表最大顯示年齡,"",A4+1))</f>
        <v/>
      </c>
      <c r="B5" s="150">
        <f ca="1">IF(OR(A5="",$B$3=0),0,
IF(AND(OR($B$2="ASGNLB1",$B$2="ASGNLB2"),$B$3&gt;30,$A5&gt;49),0,
IF(AND(照護有術顯示判斷=2,'試算表(16歲-65歲)'!A5&gt;=20,'試算表(16歲-65歲)'!A5&lt;=29),0,
VLOOKUP("P"&amp;REPT("0",2-LEN(商品年期))&amp;商品年期&amp;"S"&amp;"1"&amp;"A"&amp;REPT("0",2-LEN(A5))&amp;A5,INDIRECT(主約費率表),6,FALSE)*$B$3)))</f>
        <v>0</v>
      </c>
      <c r="C5" s="150">
        <f t="shared" si="0"/>
        <v>0</v>
      </c>
      <c r="D5" s="150">
        <f t="shared" si="1"/>
        <v>0</v>
      </c>
      <c r="E5" s="150">
        <f t="shared" si="2"/>
        <v>0</v>
      </c>
      <c r="F5" s="150">
        <f t="shared" si="3"/>
        <v>0</v>
      </c>
      <c r="G5" s="151">
        <f t="shared" si="4"/>
        <v>0</v>
      </c>
      <c r="H5" s="151" cm="1">
        <f t="array" ref="H5">IF(OR(A5="",$H$3=0),0,IF(ISERROR($H$3),0,ROUND(INDEX(MT_NP,1,職業等級)+(MAX(0,MT保額-3)*INDEX(MT_NP,2,職業等級)),0)))</f>
        <v>0</v>
      </c>
      <c r="I5" s="150">
        <f t="shared" si="5"/>
        <v>0</v>
      </c>
      <c r="J5" s="150">
        <f t="shared" si="6"/>
        <v>0</v>
      </c>
      <c r="K5" s="150">
        <f t="shared" si="7"/>
        <v>0</v>
      </c>
      <c r="L5" s="150"/>
      <c r="M5" s="150"/>
      <c r="N5" s="152"/>
      <c r="O5" s="146">
        <f ca="1">IF(OR(A5="",$O$3=0),0,
IF(AND(OR($O$2="ASGNLB1",$O$2="ASGNLB2"),$O$3&gt;30,$A5&gt;49),0,
IF(AND(照護有術顯示判斷=2,'試算表(16歲-65歲)'!A5&gt;=20,'試算表(16歲-65歲)'!A5&lt;=29),0,
VLOOKUP("P"&amp;REPT("0",2-LEN(商品年期))&amp;商品年期&amp;"S"&amp;"2"&amp;"A"&amp;REPT("0",2-LEN(A5))&amp;A5,INDIRECT(主約費率表),6,FALSE)*$O$3)))</f>
        <v>0</v>
      </c>
      <c r="P5" s="146">
        <f t="shared" si="8"/>
        <v>0</v>
      </c>
      <c r="Q5" s="146">
        <f t="shared" si="9"/>
        <v>0</v>
      </c>
      <c r="R5" s="146">
        <f t="shared" si="10"/>
        <v>0</v>
      </c>
      <c r="S5" s="146">
        <f t="shared" si="11"/>
        <v>0</v>
      </c>
      <c r="T5" s="146">
        <f t="shared" si="12"/>
        <v>0</v>
      </c>
      <c r="U5" s="146" cm="1">
        <f t="array" ref="U5">IF(OR(A5="",$U$3=0),0,IF(ISERROR($U$3),0,ROUND(INDEX(MT_NP,1,職業等級)+(MAX(0,MT保額-3)*INDEX(MT_NP,2,職業等級)),0)))</f>
        <v>0</v>
      </c>
      <c r="V5" s="146">
        <f t="shared" si="13"/>
        <v>0</v>
      </c>
      <c r="W5" s="146">
        <f t="shared" si="14"/>
        <v>0</v>
      </c>
      <c r="X5" s="146">
        <f t="shared" si="15"/>
        <v>0</v>
      </c>
      <c r="Y5" s="146"/>
      <c r="Z5" s="146"/>
      <c r="AA5" s="153"/>
    </row>
    <row r="6" spans="1:27">
      <c r="A6" s="149" t="str">
        <f t="shared" si="16"/>
        <v/>
      </c>
      <c r="B6" s="150">
        <f ca="1">IF(OR(A6="",$B$3=0),0,
IF(AND(OR($B$2="ASGNLB1",$B$2="ASGNLB2"),$B$3&gt;30,$A6&gt;49),0,
IF(AND(照護有術顯示判斷=2,'試算表(16歲-65歲)'!A6&gt;=20,'試算表(16歲-65歲)'!A6&lt;=29),0,
VLOOKUP("P"&amp;REPT("0",2-LEN(商品年期))&amp;商品年期&amp;"S"&amp;"1"&amp;"A"&amp;REPT("0",2-LEN(A6))&amp;A6,INDIRECT(主約費率表),6,FALSE)*$B$3)))</f>
        <v>0</v>
      </c>
      <c r="C6" s="150">
        <f t="shared" si="0"/>
        <v>0</v>
      </c>
      <c r="D6" s="150">
        <f t="shared" si="1"/>
        <v>0</v>
      </c>
      <c r="E6" s="150">
        <f t="shared" si="2"/>
        <v>0</v>
      </c>
      <c r="F6" s="150">
        <f t="shared" si="3"/>
        <v>0</v>
      </c>
      <c r="G6" s="151">
        <f t="shared" si="4"/>
        <v>0</v>
      </c>
      <c r="H6" s="151" cm="1">
        <f t="array" ref="H6">IF(OR(A6="",$H$3=0),0,IF(ISERROR($H$3),0,ROUND(INDEX(MT_NP,1,職業等級)+(MAX(0,MT保額-3)*INDEX(MT_NP,2,職業等級)),0)))</f>
        <v>0</v>
      </c>
      <c r="I6" s="150">
        <f t="shared" si="5"/>
        <v>0</v>
      </c>
      <c r="J6" s="150">
        <f t="shared" si="6"/>
        <v>0</v>
      </c>
      <c r="K6" s="150">
        <f t="shared" si="7"/>
        <v>0</v>
      </c>
      <c r="L6" s="150"/>
      <c r="M6" s="150"/>
      <c r="N6" s="152"/>
      <c r="O6" s="146">
        <f ca="1">IF(OR(A6="",$O$3=0),0,
IF(AND(OR($O$2="ASGNLB1",$O$2="ASGNLB2"),$O$3&gt;30,$A6&gt;49),0,
IF(AND(照護有術顯示判斷=2,'試算表(16歲-65歲)'!A6&gt;=20,'試算表(16歲-65歲)'!A6&lt;=29),0,
VLOOKUP("P"&amp;REPT("0",2-LEN(商品年期))&amp;商品年期&amp;"S"&amp;"2"&amp;"A"&amp;REPT("0",2-LEN(A6))&amp;A6,INDIRECT(主約費率表),6,FALSE)*$O$3)))</f>
        <v>0</v>
      </c>
      <c r="P6" s="146">
        <f t="shared" si="8"/>
        <v>0</v>
      </c>
      <c r="Q6" s="146">
        <f t="shared" si="9"/>
        <v>0</v>
      </c>
      <c r="R6" s="146">
        <f t="shared" si="10"/>
        <v>0</v>
      </c>
      <c r="S6" s="146">
        <f t="shared" si="11"/>
        <v>0</v>
      </c>
      <c r="T6" s="146">
        <f t="shared" si="12"/>
        <v>0</v>
      </c>
      <c r="U6" s="146" cm="1">
        <f t="array" ref="U6">IF(OR(A6="",$U$3=0),0,IF(ISERROR($U$3),0,ROUND(INDEX(MT_NP,1,職業等級)+(MAX(0,MT保額-3)*INDEX(MT_NP,2,職業等級)),0)))</f>
        <v>0</v>
      </c>
      <c r="V6" s="146">
        <f t="shared" si="13"/>
        <v>0</v>
      </c>
      <c r="W6" s="146">
        <f t="shared" si="14"/>
        <v>0</v>
      </c>
      <c r="X6" s="146">
        <f t="shared" si="15"/>
        <v>0</v>
      </c>
      <c r="Y6" s="146"/>
      <c r="Z6" s="146"/>
      <c r="AA6" s="153"/>
    </row>
    <row r="7" spans="1:27">
      <c r="A7" s="149" t="str">
        <f t="shared" si="16"/>
        <v/>
      </c>
      <c r="B7" s="150">
        <f ca="1">IF(OR(A7="",$B$3=0),0,
IF(AND(OR($B$2="ASGNLB1",$B$2="ASGNLB2"),$B$3&gt;30,$A7&gt;49),0,
IF(AND(照護有術顯示判斷=2,'試算表(16歲-65歲)'!A7&gt;=20,'試算表(16歲-65歲)'!A7&lt;=29),0,
VLOOKUP("P"&amp;REPT("0",2-LEN(商品年期))&amp;商品年期&amp;"S"&amp;"1"&amp;"A"&amp;REPT("0",2-LEN(A7))&amp;A7,INDIRECT(主約費率表),6,FALSE)*$B$3)))</f>
        <v>0</v>
      </c>
      <c r="C7" s="150">
        <f t="shared" si="0"/>
        <v>0</v>
      </c>
      <c r="D7" s="150">
        <f t="shared" si="1"/>
        <v>0</v>
      </c>
      <c r="E7" s="150">
        <f t="shared" si="2"/>
        <v>0</v>
      </c>
      <c r="F7" s="150">
        <f t="shared" si="3"/>
        <v>0</v>
      </c>
      <c r="G7" s="151">
        <f t="shared" si="4"/>
        <v>0</v>
      </c>
      <c r="H7" s="151" cm="1">
        <f t="array" ref="H7">IF(OR(A7="",$H$3=0),0,IF(ISERROR($H$3),0,ROUND(INDEX(MT_NP,1,職業等級)+(MAX(0,MT保額-3)*INDEX(MT_NP,2,職業等級)),0)))</f>
        <v>0</v>
      </c>
      <c r="I7" s="150">
        <f t="shared" si="5"/>
        <v>0</v>
      </c>
      <c r="J7" s="150">
        <f t="shared" si="6"/>
        <v>0</v>
      </c>
      <c r="K7" s="150">
        <f t="shared" si="7"/>
        <v>0</v>
      </c>
      <c r="L7" s="150"/>
      <c r="M7" s="150"/>
      <c r="N7" s="152"/>
      <c r="O7" s="146">
        <f ca="1">IF(OR(A7="",$O$3=0),0,
IF(AND(OR($O$2="ASGNLB1",$O$2="ASGNLB2"),$O$3&gt;30,$A7&gt;49),0,
IF(AND(照護有術顯示判斷=2,'試算表(16歲-65歲)'!A7&gt;=20,'試算表(16歲-65歲)'!A7&lt;=29),0,
VLOOKUP("P"&amp;REPT("0",2-LEN(商品年期))&amp;商品年期&amp;"S"&amp;"2"&amp;"A"&amp;REPT("0",2-LEN(A7))&amp;A7,INDIRECT(主約費率表),6,FALSE)*$O$3)))</f>
        <v>0</v>
      </c>
      <c r="P7" s="146">
        <f t="shared" si="8"/>
        <v>0</v>
      </c>
      <c r="Q7" s="146">
        <f t="shared" si="9"/>
        <v>0</v>
      </c>
      <c r="R7" s="146">
        <f t="shared" si="10"/>
        <v>0</v>
      </c>
      <c r="S7" s="146">
        <f t="shared" si="11"/>
        <v>0</v>
      </c>
      <c r="T7" s="146">
        <f t="shared" si="12"/>
        <v>0</v>
      </c>
      <c r="U7" s="146" cm="1">
        <f t="array" ref="U7">IF(OR(A7="",$U$3=0),0,IF(ISERROR($U$3),0,ROUND(INDEX(MT_NP,1,職業等級)+(MAX(0,MT保額-3)*INDEX(MT_NP,2,職業等級)),0)))</f>
        <v>0</v>
      </c>
      <c r="V7" s="146">
        <f t="shared" si="13"/>
        <v>0</v>
      </c>
      <c r="W7" s="146">
        <f t="shared" si="14"/>
        <v>0</v>
      </c>
      <c r="X7" s="146">
        <f t="shared" si="15"/>
        <v>0</v>
      </c>
      <c r="Y7" s="146"/>
      <c r="Z7" s="146"/>
      <c r="AA7" s="153"/>
    </row>
    <row r="8" spans="1:27">
      <c r="A8" s="149" t="str">
        <f t="shared" si="16"/>
        <v/>
      </c>
      <c r="B8" s="150">
        <f ca="1">IF(OR(A8="",$B$3=0),0,
IF(AND(OR($B$2="ASGNLB1",$B$2="ASGNLB2"),$B$3&gt;30,$A8&gt;49),0,
IF(AND(照護有術顯示判斷=2,'試算表(16歲-65歲)'!A8&gt;=20,'試算表(16歲-65歲)'!A8&lt;=29),0,
VLOOKUP("P"&amp;REPT("0",2-LEN(商品年期))&amp;商品年期&amp;"S"&amp;"1"&amp;"A"&amp;REPT("0",2-LEN(A8))&amp;A8,INDIRECT(主約費率表),6,FALSE)*$B$3)))</f>
        <v>0</v>
      </c>
      <c r="C8" s="150">
        <f t="shared" si="0"/>
        <v>0</v>
      </c>
      <c r="D8" s="150">
        <f t="shared" si="1"/>
        <v>0</v>
      </c>
      <c r="E8" s="150">
        <f t="shared" si="2"/>
        <v>0</v>
      </c>
      <c r="F8" s="150">
        <f t="shared" si="3"/>
        <v>0</v>
      </c>
      <c r="G8" s="151">
        <f t="shared" si="4"/>
        <v>0</v>
      </c>
      <c r="H8" s="151" cm="1">
        <f t="array" ref="H8">IF(OR(A8="",$H$3=0),0,IF(ISERROR($H$3),0,ROUND(INDEX(MT_NP,1,職業等級)+(MAX(0,MT保額-3)*INDEX(MT_NP,2,職業等級)),0)))</f>
        <v>0</v>
      </c>
      <c r="I8" s="150">
        <f t="shared" si="5"/>
        <v>0</v>
      </c>
      <c r="J8" s="150">
        <f t="shared" si="6"/>
        <v>0</v>
      </c>
      <c r="K8" s="150">
        <f t="shared" si="7"/>
        <v>0</v>
      </c>
      <c r="L8" s="150"/>
      <c r="M8" s="150"/>
      <c r="N8" s="152"/>
      <c r="O8" s="146">
        <f ca="1">IF(OR(A8="",$O$3=0),0,
IF(AND(OR($O$2="ASGNLB1",$O$2="ASGNLB2"),$O$3&gt;30,$A8&gt;49),0,
IF(AND(照護有術顯示判斷=2,'試算表(16歲-65歲)'!A8&gt;=20,'試算表(16歲-65歲)'!A8&lt;=29),0,
VLOOKUP("P"&amp;REPT("0",2-LEN(商品年期))&amp;商品年期&amp;"S"&amp;"2"&amp;"A"&amp;REPT("0",2-LEN(A8))&amp;A8,INDIRECT(主約費率表),6,FALSE)*$O$3)))</f>
        <v>0</v>
      </c>
      <c r="P8" s="146">
        <f t="shared" si="8"/>
        <v>0</v>
      </c>
      <c r="Q8" s="146">
        <f t="shared" si="9"/>
        <v>0</v>
      </c>
      <c r="R8" s="146">
        <f t="shared" si="10"/>
        <v>0</v>
      </c>
      <c r="S8" s="146">
        <f t="shared" si="11"/>
        <v>0</v>
      </c>
      <c r="T8" s="146">
        <f t="shared" si="12"/>
        <v>0</v>
      </c>
      <c r="U8" s="146" cm="1">
        <f t="array" ref="U8">IF(OR(A8="",$U$3=0),0,IF(ISERROR($U$3),0,ROUND(INDEX(MT_NP,1,職業等級)+(MAX(0,MT保額-3)*INDEX(MT_NP,2,職業等級)),0)))</f>
        <v>0</v>
      </c>
      <c r="V8" s="146">
        <f t="shared" si="13"/>
        <v>0</v>
      </c>
      <c r="W8" s="146">
        <f t="shared" si="14"/>
        <v>0</v>
      </c>
      <c r="X8" s="146">
        <f t="shared" si="15"/>
        <v>0</v>
      </c>
      <c r="Y8" s="146"/>
      <c r="Z8" s="146"/>
      <c r="AA8" s="153"/>
    </row>
    <row r="9" spans="1:27">
      <c r="A9" s="149" t="str">
        <f t="shared" si="16"/>
        <v/>
      </c>
      <c r="B9" s="150">
        <f ca="1">IF(OR(A9="",$B$3=0),0,
IF(AND(OR($B$2="ASGNLB1",$B$2="ASGNLB2"),$B$3&gt;30,$A9&gt;49),0,
IF(AND(照護有術顯示判斷=2,'試算表(16歲-65歲)'!A9&gt;=20,'試算表(16歲-65歲)'!A9&lt;=29),0,
VLOOKUP("P"&amp;REPT("0",2-LEN(商品年期))&amp;商品年期&amp;"S"&amp;"1"&amp;"A"&amp;REPT("0",2-LEN(A9))&amp;A9,INDIRECT(主約費率表),6,FALSE)*$B$3)))</f>
        <v>0</v>
      </c>
      <c r="C9" s="150">
        <f t="shared" si="0"/>
        <v>0</v>
      </c>
      <c r="D9" s="150">
        <f t="shared" si="1"/>
        <v>0</v>
      </c>
      <c r="E9" s="150">
        <f t="shared" si="2"/>
        <v>0</v>
      </c>
      <c r="F9" s="150">
        <f t="shared" si="3"/>
        <v>0</v>
      </c>
      <c r="G9" s="151">
        <f t="shared" si="4"/>
        <v>0</v>
      </c>
      <c r="H9" s="151" cm="1">
        <f t="array" ref="H9">IF(OR(A9="",$H$3=0),0,IF(ISERROR($H$3),0,ROUND(INDEX(MT_NP,1,職業等級)+(MAX(0,MT保額-3)*INDEX(MT_NP,2,職業等級)),0)))</f>
        <v>0</v>
      </c>
      <c r="I9" s="150">
        <f t="shared" si="5"/>
        <v>0</v>
      </c>
      <c r="J9" s="150">
        <f t="shared" si="6"/>
        <v>0</v>
      </c>
      <c r="K9" s="150">
        <f t="shared" si="7"/>
        <v>0</v>
      </c>
      <c r="L9" s="150"/>
      <c r="M9" s="150"/>
      <c r="N9" s="152"/>
      <c r="O9" s="146">
        <f ca="1">IF(OR(A9="",$O$3=0),0,
IF(AND(OR($O$2="ASGNLB1",$O$2="ASGNLB2"),$O$3&gt;30,$A9&gt;49),0,
IF(AND(照護有術顯示判斷=2,'試算表(16歲-65歲)'!A9&gt;=20,'試算表(16歲-65歲)'!A9&lt;=29),0,
VLOOKUP("P"&amp;REPT("0",2-LEN(商品年期))&amp;商品年期&amp;"S"&amp;"2"&amp;"A"&amp;REPT("0",2-LEN(A9))&amp;A9,INDIRECT(主約費率表),6,FALSE)*$O$3)))</f>
        <v>0</v>
      </c>
      <c r="P9" s="146">
        <f t="shared" si="8"/>
        <v>0</v>
      </c>
      <c r="Q9" s="146">
        <f t="shared" si="9"/>
        <v>0</v>
      </c>
      <c r="R9" s="146">
        <f t="shared" si="10"/>
        <v>0</v>
      </c>
      <c r="S9" s="146">
        <f t="shared" si="11"/>
        <v>0</v>
      </c>
      <c r="T9" s="146">
        <f t="shared" si="12"/>
        <v>0</v>
      </c>
      <c r="U9" s="146" cm="1">
        <f t="array" ref="U9">IF(OR(A9="",$U$3=0),0,IF(ISERROR($U$3),0,ROUND(INDEX(MT_NP,1,職業等級)+(MAX(0,MT保額-3)*INDEX(MT_NP,2,職業等級)),0)))</f>
        <v>0</v>
      </c>
      <c r="V9" s="146">
        <f t="shared" si="13"/>
        <v>0</v>
      </c>
      <c r="W9" s="146">
        <f t="shared" si="14"/>
        <v>0</v>
      </c>
      <c r="X9" s="146">
        <f t="shared" si="15"/>
        <v>0</v>
      </c>
      <c r="Y9" s="146"/>
      <c r="Z9" s="146"/>
      <c r="AA9" s="153"/>
    </row>
    <row r="10" spans="1:27">
      <c r="A10" s="149" t="str">
        <f t="shared" si="16"/>
        <v/>
      </c>
      <c r="B10" s="150">
        <f ca="1">IF(OR(A10="",$B$3=0),0,
IF(AND(OR($B$2="ASGNLB1",$B$2="ASGNLB2"),$B$3&gt;30,$A10&gt;49),0,
IF(AND(照護有術顯示判斷=2,'試算表(16歲-65歲)'!A10&gt;=20,'試算表(16歲-65歲)'!A10&lt;=29),0,
VLOOKUP("P"&amp;REPT("0",2-LEN(商品年期))&amp;商品年期&amp;"S"&amp;"1"&amp;"A"&amp;REPT("0",2-LEN(A10))&amp;A10,INDIRECT(主約費率表),6,FALSE)*$B$3)))</f>
        <v>0</v>
      </c>
      <c r="C10" s="150">
        <f t="shared" si="0"/>
        <v>0</v>
      </c>
      <c r="D10" s="150">
        <f t="shared" si="1"/>
        <v>0</v>
      </c>
      <c r="E10" s="150">
        <f t="shared" si="2"/>
        <v>0</v>
      </c>
      <c r="F10" s="150">
        <f t="shared" si="3"/>
        <v>0</v>
      </c>
      <c r="G10" s="151">
        <f t="shared" si="4"/>
        <v>0</v>
      </c>
      <c r="H10" s="151" cm="1">
        <f t="array" ref="H10">IF(OR(A10="",$H$3=0),0,IF(ISERROR($H$3),0,ROUND(INDEX(MT_NP,1,職業等級)+(MAX(0,MT保額-3)*INDEX(MT_NP,2,職業等級)),0)))</f>
        <v>0</v>
      </c>
      <c r="I10" s="150">
        <f t="shared" si="5"/>
        <v>0</v>
      </c>
      <c r="J10" s="150">
        <f t="shared" si="6"/>
        <v>0</v>
      </c>
      <c r="K10" s="150">
        <f t="shared" si="7"/>
        <v>0</v>
      </c>
      <c r="L10" s="150"/>
      <c r="M10" s="150"/>
      <c r="N10" s="152"/>
      <c r="O10" s="146">
        <f ca="1">IF(OR(A10="",$O$3=0),0,
IF(AND(OR($O$2="ASGNLB1",$O$2="ASGNLB2"),$O$3&gt;30,$A10&gt;49),0,
IF(AND(照護有術顯示判斷=2,'試算表(16歲-65歲)'!A10&gt;=20,'試算表(16歲-65歲)'!A10&lt;=29),0,
VLOOKUP("P"&amp;REPT("0",2-LEN(商品年期))&amp;商品年期&amp;"S"&amp;"2"&amp;"A"&amp;REPT("0",2-LEN(A10))&amp;A10,INDIRECT(主約費率表),6,FALSE)*$O$3)))</f>
        <v>0</v>
      </c>
      <c r="P10" s="146">
        <f t="shared" si="8"/>
        <v>0</v>
      </c>
      <c r="Q10" s="146">
        <f t="shared" si="9"/>
        <v>0</v>
      </c>
      <c r="R10" s="146">
        <f t="shared" si="10"/>
        <v>0</v>
      </c>
      <c r="S10" s="146">
        <f t="shared" si="11"/>
        <v>0</v>
      </c>
      <c r="T10" s="146">
        <f t="shared" si="12"/>
        <v>0</v>
      </c>
      <c r="U10" s="146" cm="1">
        <f t="array" ref="U10">IF(OR(A10="",$U$3=0),0,IF(ISERROR($U$3),0,ROUND(INDEX(MT_NP,1,職業等級)+(MAX(0,MT保額-3)*INDEX(MT_NP,2,職業等級)),0)))</f>
        <v>0</v>
      </c>
      <c r="V10" s="146">
        <f t="shared" si="13"/>
        <v>0</v>
      </c>
      <c r="W10" s="146">
        <f t="shared" si="14"/>
        <v>0</v>
      </c>
      <c r="X10" s="146">
        <f t="shared" si="15"/>
        <v>0</v>
      </c>
      <c r="Y10" s="146"/>
      <c r="Z10" s="146"/>
      <c r="AA10" s="153"/>
    </row>
    <row r="11" spans="1:27">
      <c r="A11" s="149" t="str">
        <f t="shared" si="16"/>
        <v/>
      </c>
      <c r="B11" s="150">
        <f ca="1">IF(OR(A11="",$B$3=0),0,
IF(AND(OR($B$2="ASGNLB1",$B$2="ASGNLB2"),$B$3&gt;30,$A11&gt;49),0,
IF(AND(照護有術顯示判斷=2,'試算表(16歲-65歲)'!A11&gt;=20,'試算表(16歲-65歲)'!A11&lt;=29),0,
VLOOKUP("P"&amp;REPT("0",2-LEN(商品年期))&amp;商品年期&amp;"S"&amp;"1"&amp;"A"&amp;REPT("0",2-LEN(A11))&amp;A11,INDIRECT(主約費率表),6,FALSE)*$B$3)))</f>
        <v>0</v>
      </c>
      <c r="C11" s="150">
        <f t="shared" si="0"/>
        <v>0</v>
      </c>
      <c r="D11" s="150">
        <f t="shared" si="1"/>
        <v>0</v>
      </c>
      <c r="E11" s="150">
        <f t="shared" si="2"/>
        <v>0</v>
      </c>
      <c r="F11" s="150">
        <f t="shared" si="3"/>
        <v>0</v>
      </c>
      <c r="G11" s="151">
        <f t="shared" si="4"/>
        <v>0</v>
      </c>
      <c r="H11" s="151" cm="1">
        <f t="array" ref="H11">IF(OR(A11="",$H$3=0),0,IF(ISERROR($H$3),0,ROUND(INDEX(MT_NP,1,職業等級)+(MAX(0,MT保額-3)*INDEX(MT_NP,2,職業等級)),0)))</f>
        <v>0</v>
      </c>
      <c r="I11" s="150">
        <f t="shared" si="5"/>
        <v>0</v>
      </c>
      <c r="J11" s="150">
        <f t="shared" si="6"/>
        <v>0</v>
      </c>
      <c r="K11" s="150">
        <f t="shared" si="7"/>
        <v>0</v>
      </c>
      <c r="L11" s="150"/>
      <c r="M11" s="150"/>
      <c r="N11" s="152"/>
      <c r="O11" s="146">
        <f ca="1">IF(OR(A11="",$O$3=0),0,
IF(AND(OR($O$2="ASGNLB1",$O$2="ASGNLB2"),$O$3&gt;30,$A11&gt;49),0,
IF(AND(照護有術顯示判斷=2,'試算表(16歲-65歲)'!A11&gt;=20,'試算表(16歲-65歲)'!A11&lt;=29),0,
VLOOKUP("P"&amp;REPT("0",2-LEN(商品年期))&amp;商品年期&amp;"S"&amp;"2"&amp;"A"&amp;REPT("0",2-LEN(A11))&amp;A11,INDIRECT(主約費率表),6,FALSE)*$O$3)))</f>
        <v>0</v>
      </c>
      <c r="P11" s="146">
        <f t="shared" si="8"/>
        <v>0</v>
      </c>
      <c r="Q11" s="146">
        <f t="shared" si="9"/>
        <v>0</v>
      </c>
      <c r="R11" s="146">
        <f t="shared" si="10"/>
        <v>0</v>
      </c>
      <c r="S11" s="146">
        <f t="shared" si="11"/>
        <v>0</v>
      </c>
      <c r="T11" s="146">
        <f t="shared" si="12"/>
        <v>0</v>
      </c>
      <c r="U11" s="146" cm="1">
        <f t="array" ref="U11">IF(OR(A11="",$U$3=0),0,IF(ISERROR($U$3),0,ROUND(INDEX(MT_NP,1,職業等級)+(MAX(0,MT保額-3)*INDEX(MT_NP,2,職業等級)),0)))</f>
        <v>0</v>
      </c>
      <c r="V11" s="146">
        <f t="shared" si="13"/>
        <v>0</v>
      </c>
      <c r="W11" s="146">
        <f t="shared" si="14"/>
        <v>0</v>
      </c>
      <c r="X11" s="146">
        <f t="shared" si="15"/>
        <v>0</v>
      </c>
      <c r="Y11" s="146"/>
      <c r="Z11" s="146"/>
      <c r="AA11" s="153"/>
    </row>
    <row r="12" spans="1:27">
      <c r="A12" s="149" t="str">
        <f t="shared" si="16"/>
        <v/>
      </c>
      <c r="B12" s="150">
        <f ca="1">IF(OR(A12="",$B$3=0),0,
IF(AND(OR($B$2="ASGNLB1",$B$2="ASGNLB2"),$B$3&gt;30,$A12&gt;49),0,
IF(AND(照護有術顯示判斷=2,'試算表(16歲-65歲)'!A12&gt;=20,'試算表(16歲-65歲)'!A12&lt;=29),0,
VLOOKUP("P"&amp;REPT("0",2-LEN(商品年期))&amp;商品年期&amp;"S"&amp;"1"&amp;"A"&amp;REPT("0",2-LEN(A12))&amp;A12,INDIRECT(主約費率表),6,FALSE)*$B$3)))</f>
        <v>0</v>
      </c>
      <c r="C12" s="150">
        <f t="shared" si="0"/>
        <v>0</v>
      </c>
      <c r="D12" s="150">
        <f t="shared" si="1"/>
        <v>0</v>
      </c>
      <c r="E12" s="150">
        <f t="shared" si="2"/>
        <v>0</v>
      </c>
      <c r="F12" s="150">
        <f t="shared" si="3"/>
        <v>0</v>
      </c>
      <c r="G12" s="151">
        <f t="shared" si="4"/>
        <v>0</v>
      </c>
      <c r="H12" s="151" cm="1">
        <f t="array" ref="H12">IF(OR(A12="",$H$3=0),0,IF(ISERROR($H$3),0,ROUND(INDEX(MT_NP,1,職業等級)+(MAX(0,MT保額-3)*INDEX(MT_NP,2,職業等級)),0)))</f>
        <v>0</v>
      </c>
      <c r="I12" s="150">
        <f t="shared" si="5"/>
        <v>0</v>
      </c>
      <c r="J12" s="150">
        <f t="shared" si="6"/>
        <v>0</v>
      </c>
      <c r="K12" s="150">
        <f t="shared" si="7"/>
        <v>0</v>
      </c>
      <c r="L12" s="150"/>
      <c r="M12" s="150"/>
      <c r="N12" s="152"/>
      <c r="O12" s="146">
        <f ca="1">IF(OR(A12="",$O$3=0),0,
IF(AND(OR($O$2="ASGNLB1",$O$2="ASGNLB2"),$O$3&gt;30,$A12&gt;49),0,
IF(AND(照護有術顯示判斷=2,'試算表(16歲-65歲)'!A12&gt;=20,'試算表(16歲-65歲)'!A12&lt;=29),0,
VLOOKUP("P"&amp;REPT("0",2-LEN(商品年期))&amp;商品年期&amp;"S"&amp;"2"&amp;"A"&amp;REPT("0",2-LEN(A12))&amp;A12,INDIRECT(主約費率表),6,FALSE)*$O$3)))</f>
        <v>0</v>
      </c>
      <c r="P12" s="146">
        <f t="shared" si="8"/>
        <v>0</v>
      </c>
      <c r="Q12" s="146">
        <f t="shared" si="9"/>
        <v>0</v>
      </c>
      <c r="R12" s="146">
        <f t="shared" si="10"/>
        <v>0</v>
      </c>
      <c r="S12" s="146">
        <f t="shared" si="11"/>
        <v>0</v>
      </c>
      <c r="T12" s="146">
        <f t="shared" si="12"/>
        <v>0</v>
      </c>
      <c r="U12" s="146" cm="1">
        <f t="array" ref="U12">IF(OR(A12="",$U$3=0),0,IF(ISERROR($U$3),0,ROUND(INDEX(MT_NP,1,職業等級)+(MAX(0,MT保額-3)*INDEX(MT_NP,2,職業等級)),0)))</f>
        <v>0</v>
      </c>
      <c r="V12" s="146">
        <f t="shared" si="13"/>
        <v>0</v>
      </c>
      <c r="W12" s="146">
        <f t="shared" si="14"/>
        <v>0</v>
      </c>
      <c r="X12" s="146">
        <f t="shared" si="15"/>
        <v>0</v>
      </c>
      <c r="Y12" s="146"/>
      <c r="Z12" s="146"/>
      <c r="AA12" s="153"/>
    </row>
    <row r="13" spans="1:27">
      <c r="A13" s="149" t="str">
        <f t="shared" si="16"/>
        <v/>
      </c>
      <c r="B13" s="150">
        <f ca="1">IF(OR(A13="",$B$3=0),0,
IF(AND(OR($B$2="ASGNLB1",$B$2="ASGNLB2"),$B$3&gt;30,$A13&gt;49),0,
IF(AND(照護有術顯示判斷=2,'試算表(16歲-65歲)'!A13&gt;=20,'試算表(16歲-65歲)'!A13&lt;=29),0,
VLOOKUP("P"&amp;REPT("0",2-LEN(商品年期))&amp;商品年期&amp;"S"&amp;"1"&amp;"A"&amp;REPT("0",2-LEN(A13))&amp;A13,INDIRECT(主約費率表),6,FALSE)*$B$3)))</f>
        <v>0</v>
      </c>
      <c r="C13" s="150">
        <f t="shared" si="0"/>
        <v>0</v>
      </c>
      <c r="D13" s="150">
        <f t="shared" si="1"/>
        <v>0</v>
      </c>
      <c r="E13" s="150">
        <f t="shared" si="2"/>
        <v>0</v>
      </c>
      <c r="F13" s="150">
        <f t="shared" si="3"/>
        <v>0</v>
      </c>
      <c r="G13" s="151">
        <f t="shared" si="4"/>
        <v>0</v>
      </c>
      <c r="H13" s="151" cm="1">
        <f t="array" ref="H13">IF(OR(A13="",$H$3=0),0,IF(ISERROR($H$3),0,ROUND(INDEX(MT_NP,1,職業等級)+(MAX(0,MT保額-3)*INDEX(MT_NP,2,職業等級)),0)))</f>
        <v>0</v>
      </c>
      <c r="I13" s="150">
        <f t="shared" si="5"/>
        <v>0</v>
      </c>
      <c r="J13" s="150">
        <f t="shared" si="6"/>
        <v>0</v>
      </c>
      <c r="K13" s="150">
        <f t="shared" si="7"/>
        <v>0</v>
      </c>
      <c r="L13" s="150"/>
      <c r="M13" s="150"/>
      <c r="N13" s="152"/>
      <c r="O13" s="146">
        <f ca="1">IF(OR(A13="",$O$3=0),0,
IF(AND(OR($O$2="ASGNLB1",$O$2="ASGNLB2"),$O$3&gt;30,$A13&gt;49),0,
IF(AND(照護有術顯示判斷=2,'試算表(16歲-65歲)'!A13&gt;=20,'試算表(16歲-65歲)'!A13&lt;=29),0,
VLOOKUP("P"&amp;REPT("0",2-LEN(商品年期))&amp;商品年期&amp;"S"&amp;"2"&amp;"A"&amp;REPT("0",2-LEN(A13))&amp;A13,INDIRECT(主約費率表),6,FALSE)*$O$3)))</f>
        <v>0</v>
      </c>
      <c r="P13" s="146">
        <f t="shared" si="8"/>
        <v>0</v>
      </c>
      <c r="Q13" s="146">
        <f t="shared" si="9"/>
        <v>0</v>
      </c>
      <c r="R13" s="146">
        <f t="shared" si="10"/>
        <v>0</v>
      </c>
      <c r="S13" s="146">
        <f t="shared" si="11"/>
        <v>0</v>
      </c>
      <c r="T13" s="146">
        <f t="shared" si="12"/>
        <v>0</v>
      </c>
      <c r="U13" s="146" cm="1">
        <f t="array" ref="U13">IF(OR(A13="",$U$3=0),0,IF(ISERROR($U$3),0,ROUND(INDEX(MT_NP,1,職業等級)+(MAX(0,MT保額-3)*INDEX(MT_NP,2,職業等級)),0)))</f>
        <v>0</v>
      </c>
      <c r="V13" s="146">
        <f t="shared" si="13"/>
        <v>0</v>
      </c>
      <c r="W13" s="146">
        <f t="shared" si="14"/>
        <v>0</v>
      </c>
      <c r="X13" s="146">
        <f t="shared" si="15"/>
        <v>0</v>
      </c>
      <c r="Y13" s="146"/>
      <c r="Z13" s="146"/>
      <c r="AA13" s="153"/>
    </row>
    <row r="14" spans="1:27">
      <c r="A14" s="149" t="str">
        <f t="shared" si="16"/>
        <v/>
      </c>
      <c r="B14" s="150">
        <f ca="1">IF(OR(A14="",$B$3=0),0,
IF(AND(OR($B$2="ASGNLB1",$B$2="ASGNLB2"),$B$3&gt;30,$A14&gt;49),0,
IF(AND(照護有術顯示判斷=2,'試算表(16歲-65歲)'!A14&gt;=20,'試算表(16歲-65歲)'!A14&lt;=29),0,
VLOOKUP("P"&amp;REPT("0",2-LEN(商品年期))&amp;商品年期&amp;"S"&amp;"1"&amp;"A"&amp;REPT("0",2-LEN(A14))&amp;A14,INDIRECT(主約費率表),6,FALSE)*$B$3)))</f>
        <v>0</v>
      </c>
      <c r="C14" s="150">
        <f t="shared" si="0"/>
        <v>0</v>
      </c>
      <c r="D14" s="150">
        <f t="shared" si="1"/>
        <v>0</v>
      </c>
      <c r="E14" s="150">
        <f t="shared" si="2"/>
        <v>0</v>
      </c>
      <c r="F14" s="150">
        <f t="shared" si="3"/>
        <v>0</v>
      </c>
      <c r="G14" s="151">
        <f t="shared" si="4"/>
        <v>0</v>
      </c>
      <c r="H14" s="151" cm="1">
        <f t="array" ref="H14">IF(OR(A14="",$H$3=0),0,IF(ISERROR($H$3),0,ROUND(INDEX(MT_NP,1,職業等級)+(MAX(0,MT保額-3)*INDEX(MT_NP,2,職業等級)),0)))</f>
        <v>0</v>
      </c>
      <c r="I14" s="150">
        <f t="shared" si="5"/>
        <v>0</v>
      </c>
      <c r="J14" s="150">
        <f t="shared" si="6"/>
        <v>0</v>
      </c>
      <c r="K14" s="150">
        <f t="shared" si="7"/>
        <v>0</v>
      </c>
      <c r="L14" s="150"/>
      <c r="M14" s="150"/>
      <c r="N14" s="152"/>
      <c r="O14" s="146">
        <f ca="1">IF(OR(A14="",$O$3=0),0,
IF(AND(OR($O$2="ASGNLB1",$O$2="ASGNLB2"),$O$3&gt;30,$A14&gt;49),0,
IF(AND(照護有術顯示判斷=2,'試算表(16歲-65歲)'!A14&gt;=20,'試算表(16歲-65歲)'!A14&lt;=29),0,
VLOOKUP("P"&amp;REPT("0",2-LEN(商品年期))&amp;商品年期&amp;"S"&amp;"2"&amp;"A"&amp;REPT("0",2-LEN(A14))&amp;A14,INDIRECT(主約費率表),6,FALSE)*$O$3)))</f>
        <v>0</v>
      </c>
      <c r="P14" s="146">
        <f t="shared" si="8"/>
        <v>0</v>
      </c>
      <c r="Q14" s="146">
        <f t="shared" si="9"/>
        <v>0</v>
      </c>
      <c r="R14" s="146">
        <f t="shared" si="10"/>
        <v>0</v>
      </c>
      <c r="S14" s="146">
        <f t="shared" si="11"/>
        <v>0</v>
      </c>
      <c r="T14" s="146">
        <f t="shared" si="12"/>
        <v>0</v>
      </c>
      <c r="U14" s="146" cm="1">
        <f t="array" ref="U14">IF(OR(A14="",$U$3=0),0,IF(ISERROR($U$3),0,ROUND(INDEX(MT_NP,1,職業等級)+(MAX(0,MT保額-3)*INDEX(MT_NP,2,職業等級)),0)))</f>
        <v>0</v>
      </c>
      <c r="V14" s="146">
        <f t="shared" si="13"/>
        <v>0</v>
      </c>
      <c r="W14" s="146">
        <f t="shared" si="14"/>
        <v>0</v>
      </c>
      <c r="X14" s="146">
        <f t="shared" si="15"/>
        <v>0</v>
      </c>
      <c r="Y14" s="146"/>
      <c r="Z14" s="146"/>
      <c r="AA14" s="153"/>
    </row>
    <row r="15" spans="1:27">
      <c r="A15" s="149" t="str">
        <f t="shared" si="16"/>
        <v/>
      </c>
      <c r="B15" s="150">
        <f ca="1">IF(OR(A15="",$B$3=0),0,
IF(AND(OR($B$2="ASGNLB1",$B$2="ASGNLB2"),$B$3&gt;30,$A15&gt;49),0,
IF(AND(照護有術顯示判斷=2,'試算表(16歲-65歲)'!A15&gt;=20,'試算表(16歲-65歲)'!A15&lt;=29),0,
VLOOKUP("P"&amp;REPT("0",2-LEN(商品年期))&amp;商品年期&amp;"S"&amp;"1"&amp;"A"&amp;REPT("0",2-LEN(A15))&amp;A15,INDIRECT(主約費率表),6,FALSE)*$B$3)))</f>
        <v>0</v>
      </c>
      <c r="C15" s="150">
        <f t="shared" si="0"/>
        <v>0</v>
      </c>
      <c r="D15" s="150">
        <f t="shared" si="1"/>
        <v>0</v>
      </c>
      <c r="E15" s="150">
        <f t="shared" si="2"/>
        <v>0</v>
      </c>
      <c r="F15" s="150">
        <f t="shared" si="3"/>
        <v>0</v>
      </c>
      <c r="G15" s="151">
        <f t="shared" si="4"/>
        <v>0</v>
      </c>
      <c r="H15" s="151" cm="1">
        <f t="array" ref="H15">IF(OR(A15="",$H$3=0),0,IF(ISERROR($H$3),0,ROUND(INDEX(MT_NP,1,職業等級)+(MAX(0,MT保額-3)*INDEX(MT_NP,2,職業等級)),0)))</f>
        <v>0</v>
      </c>
      <c r="I15" s="150">
        <f t="shared" si="5"/>
        <v>0</v>
      </c>
      <c r="J15" s="150">
        <f t="shared" si="6"/>
        <v>0</v>
      </c>
      <c r="K15" s="150">
        <f t="shared" si="7"/>
        <v>0</v>
      </c>
      <c r="L15" s="150"/>
      <c r="M15" s="150"/>
      <c r="N15" s="152"/>
      <c r="O15" s="146">
        <f ca="1">IF(OR(A15="",$O$3=0),0,
IF(AND(OR($O$2="ASGNLB1",$O$2="ASGNLB2"),$O$3&gt;30,$A15&gt;49),0,
IF(AND(照護有術顯示判斷=2,'試算表(16歲-65歲)'!A15&gt;=20,'試算表(16歲-65歲)'!A15&lt;=29),0,
VLOOKUP("P"&amp;REPT("0",2-LEN(商品年期))&amp;商品年期&amp;"S"&amp;"2"&amp;"A"&amp;REPT("0",2-LEN(A15))&amp;A15,INDIRECT(主約費率表),6,FALSE)*$O$3)))</f>
        <v>0</v>
      </c>
      <c r="P15" s="146">
        <f t="shared" si="8"/>
        <v>0</v>
      </c>
      <c r="Q15" s="146">
        <f t="shared" si="9"/>
        <v>0</v>
      </c>
      <c r="R15" s="146">
        <f t="shared" si="10"/>
        <v>0</v>
      </c>
      <c r="S15" s="146">
        <f t="shared" si="11"/>
        <v>0</v>
      </c>
      <c r="T15" s="146">
        <f t="shared" si="12"/>
        <v>0</v>
      </c>
      <c r="U15" s="146" cm="1">
        <f t="array" ref="U15">IF(OR(A15="",$U$3=0),0,IF(ISERROR($U$3),0,ROUND(INDEX(MT_NP,1,職業等級)+(MAX(0,MT保額-3)*INDEX(MT_NP,2,職業等級)),0)))</f>
        <v>0</v>
      </c>
      <c r="V15" s="146">
        <f t="shared" si="13"/>
        <v>0</v>
      </c>
      <c r="W15" s="146">
        <f t="shared" si="14"/>
        <v>0</v>
      </c>
      <c r="X15" s="146">
        <f t="shared" si="15"/>
        <v>0</v>
      </c>
      <c r="Y15" s="146"/>
      <c r="Z15" s="146"/>
      <c r="AA15" s="153"/>
    </row>
    <row r="16" spans="1:27">
      <c r="A16" s="149" t="str">
        <f t="shared" si="16"/>
        <v/>
      </c>
      <c r="B16" s="150">
        <f ca="1">IF(OR(A16="",$B$3=0),0,
IF(AND(OR($B$2="ASGNLB1",$B$2="ASGNLB2"),$B$3&gt;30,$A16&gt;49),0,
IF(AND(照護有術顯示判斷=2,'試算表(16歲-65歲)'!A16&gt;=20,'試算表(16歲-65歲)'!A16&lt;=29),0,
VLOOKUP("P"&amp;REPT("0",2-LEN(商品年期))&amp;商品年期&amp;"S"&amp;"1"&amp;"A"&amp;REPT("0",2-LEN(A16))&amp;A16,INDIRECT(主約費率表),6,FALSE)*$B$3)))</f>
        <v>0</v>
      </c>
      <c r="C16" s="150">
        <f t="shared" si="0"/>
        <v>0</v>
      </c>
      <c r="D16" s="150">
        <f t="shared" si="1"/>
        <v>0</v>
      </c>
      <c r="E16" s="150">
        <f t="shared" si="2"/>
        <v>0</v>
      </c>
      <c r="F16" s="150">
        <f t="shared" si="3"/>
        <v>0</v>
      </c>
      <c r="G16" s="151">
        <f t="shared" si="4"/>
        <v>0</v>
      </c>
      <c r="H16" s="151" cm="1">
        <f t="array" ref="H16">IF(OR(A16="",$H$3=0),0,IF(ISERROR($H$3),0,ROUND(INDEX(MT_NP,1,職業等級)+(MAX(0,MT保額-3)*INDEX(MT_NP,2,職業等級)),0)))</f>
        <v>0</v>
      </c>
      <c r="I16" s="150">
        <f t="shared" si="5"/>
        <v>0</v>
      </c>
      <c r="J16" s="150">
        <f t="shared" si="6"/>
        <v>0</v>
      </c>
      <c r="K16" s="150">
        <f t="shared" si="7"/>
        <v>0</v>
      </c>
      <c r="L16" s="150"/>
      <c r="M16" s="150"/>
      <c r="N16" s="152"/>
      <c r="O16" s="146">
        <f ca="1">IF(OR(A16="",$O$3=0),0,
IF(AND(OR($O$2="ASGNLB1",$O$2="ASGNLB2"),$O$3&gt;30,$A16&gt;49),0,
IF(AND(照護有術顯示判斷=2,'試算表(16歲-65歲)'!A16&gt;=20,'試算表(16歲-65歲)'!A16&lt;=29),0,
VLOOKUP("P"&amp;REPT("0",2-LEN(商品年期))&amp;商品年期&amp;"S"&amp;"2"&amp;"A"&amp;REPT("0",2-LEN(A16))&amp;A16,INDIRECT(主約費率表),6,FALSE)*$O$3)))</f>
        <v>0</v>
      </c>
      <c r="P16" s="146">
        <f t="shared" si="8"/>
        <v>0</v>
      </c>
      <c r="Q16" s="146">
        <f t="shared" si="9"/>
        <v>0</v>
      </c>
      <c r="R16" s="146">
        <f t="shared" si="10"/>
        <v>0</v>
      </c>
      <c r="S16" s="146">
        <f t="shared" si="11"/>
        <v>0</v>
      </c>
      <c r="T16" s="146">
        <f t="shared" si="12"/>
        <v>0</v>
      </c>
      <c r="U16" s="146" cm="1">
        <f t="array" ref="U16">IF(OR(A16="",$U$3=0),0,IF(ISERROR($U$3),0,ROUND(INDEX(MT_NP,1,職業等級)+(MAX(0,MT保額-3)*INDEX(MT_NP,2,職業等級)),0)))</f>
        <v>0</v>
      </c>
      <c r="V16" s="146">
        <f t="shared" si="13"/>
        <v>0</v>
      </c>
      <c r="W16" s="146">
        <f t="shared" si="14"/>
        <v>0</v>
      </c>
      <c r="X16" s="146">
        <f t="shared" si="15"/>
        <v>0</v>
      </c>
      <c r="Y16" s="146"/>
      <c r="Z16" s="146"/>
      <c r="AA16" s="153"/>
    </row>
    <row r="17" spans="1:27">
      <c r="A17" s="149" t="str">
        <f t="shared" si="16"/>
        <v/>
      </c>
      <c r="B17" s="150">
        <f ca="1">IF(OR(A17="",$B$3=0),0,
IF(AND(OR($B$2="ASGNLB1",$B$2="ASGNLB2"),$B$3&gt;30,$A17&gt;49),0,
IF(AND(照護有術顯示判斷=2,'試算表(16歲-65歲)'!A17&gt;=20,'試算表(16歲-65歲)'!A17&lt;=29),0,
VLOOKUP("P"&amp;REPT("0",2-LEN(商品年期))&amp;商品年期&amp;"S"&amp;"1"&amp;"A"&amp;REPT("0",2-LEN(A17))&amp;A17,INDIRECT(主約費率表),6,FALSE)*$B$3)))</f>
        <v>0</v>
      </c>
      <c r="C17" s="150">
        <f t="shared" si="0"/>
        <v>0</v>
      </c>
      <c r="D17" s="150">
        <f t="shared" si="1"/>
        <v>0</v>
      </c>
      <c r="E17" s="150">
        <f t="shared" si="2"/>
        <v>0</v>
      </c>
      <c r="F17" s="150">
        <f t="shared" si="3"/>
        <v>0</v>
      </c>
      <c r="G17" s="151">
        <f t="shared" si="4"/>
        <v>0</v>
      </c>
      <c r="H17" s="151" cm="1">
        <f t="array" ref="H17">IF(OR(A17="",$H$3=0),0,IF(ISERROR($H$3),0,ROUND(INDEX(MT_NP,1,職業等級)+(MAX(0,MT保額-3)*INDEX(MT_NP,2,職業等級)),0)))</f>
        <v>0</v>
      </c>
      <c r="I17" s="150">
        <f t="shared" si="5"/>
        <v>0</v>
      </c>
      <c r="J17" s="150">
        <f t="shared" si="6"/>
        <v>0</v>
      </c>
      <c r="K17" s="150">
        <f t="shared" si="7"/>
        <v>0</v>
      </c>
      <c r="L17" s="150"/>
      <c r="M17" s="150"/>
      <c r="N17" s="152"/>
      <c r="O17" s="146">
        <f ca="1">IF(OR(A17="",$O$3=0),0,
IF(AND(OR($O$2="ASGNLB1",$O$2="ASGNLB2"),$O$3&gt;30,$A17&gt;49),0,
IF(AND(照護有術顯示判斷=2,'試算表(16歲-65歲)'!A17&gt;=20,'試算表(16歲-65歲)'!A17&lt;=29),0,
VLOOKUP("P"&amp;REPT("0",2-LEN(商品年期))&amp;商品年期&amp;"S"&amp;"2"&amp;"A"&amp;REPT("0",2-LEN(A17))&amp;A17,INDIRECT(主約費率表),6,FALSE)*$O$3)))</f>
        <v>0</v>
      </c>
      <c r="P17" s="146">
        <f t="shared" si="8"/>
        <v>0</v>
      </c>
      <c r="Q17" s="146">
        <f t="shared" si="9"/>
        <v>0</v>
      </c>
      <c r="R17" s="146">
        <f t="shared" si="10"/>
        <v>0</v>
      </c>
      <c r="S17" s="146">
        <f t="shared" si="11"/>
        <v>0</v>
      </c>
      <c r="T17" s="146">
        <f t="shared" si="12"/>
        <v>0</v>
      </c>
      <c r="U17" s="146" cm="1">
        <f t="array" ref="U17">IF(OR(A17="",$U$3=0),0,IF(ISERROR($U$3),0,ROUND(INDEX(MT_NP,1,職業等級)+(MAX(0,MT保額-3)*INDEX(MT_NP,2,職業等級)),0)))</f>
        <v>0</v>
      </c>
      <c r="V17" s="146">
        <f t="shared" si="13"/>
        <v>0</v>
      </c>
      <c r="W17" s="146">
        <f t="shared" si="14"/>
        <v>0</v>
      </c>
      <c r="X17" s="146">
        <f t="shared" si="15"/>
        <v>0</v>
      </c>
      <c r="Y17" s="146"/>
      <c r="Z17" s="146"/>
      <c r="AA17" s="153"/>
    </row>
    <row r="18" spans="1:27">
      <c r="A18" s="149" t="str">
        <f t="shared" si="16"/>
        <v/>
      </c>
      <c r="B18" s="150">
        <f ca="1">IF(OR(A18="",$B$3=0),0,
IF(AND(OR($B$2="ASGNLB1",$B$2="ASGNLB2"),$B$3&gt;30,$A18&gt;49),0,
IF(AND(照護有術顯示判斷=2,'試算表(16歲-65歲)'!A18&gt;=20,'試算表(16歲-65歲)'!A18&lt;=29),0,
VLOOKUP("P"&amp;REPT("0",2-LEN(商品年期))&amp;商品年期&amp;"S"&amp;"1"&amp;"A"&amp;REPT("0",2-LEN(A18))&amp;A18,INDIRECT(主約費率表),6,FALSE)*$B$3)))</f>
        <v>0</v>
      </c>
      <c r="C18" s="150">
        <f t="shared" si="0"/>
        <v>0</v>
      </c>
      <c r="D18" s="150">
        <f t="shared" si="1"/>
        <v>0</v>
      </c>
      <c r="E18" s="150">
        <f t="shared" si="2"/>
        <v>0</v>
      </c>
      <c r="F18" s="150">
        <f t="shared" si="3"/>
        <v>0</v>
      </c>
      <c r="G18" s="151">
        <f t="shared" si="4"/>
        <v>0</v>
      </c>
      <c r="H18" s="151" cm="1">
        <f t="array" ref="H18">IF(OR(A18="",$H$3=0),0,IF(ISERROR($H$3),0,ROUND(INDEX(MT_NP,1,職業等級)+(MAX(0,MT保額-3)*INDEX(MT_NP,2,職業等級)),0)))</f>
        <v>0</v>
      </c>
      <c r="I18" s="150">
        <f t="shared" si="5"/>
        <v>0</v>
      </c>
      <c r="J18" s="150">
        <f t="shared" si="6"/>
        <v>0</v>
      </c>
      <c r="K18" s="150">
        <f t="shared" si="7"/>
        <v>0</v>
      </c>
      <c r="L18" s="150"/>
      <c r="M18" s="150"/>
      <c r="N18" s="152"/>
      <c r="O18" s="146">
        <f ca="1">IF(OR(A18="",$O$3=0),0,
IF(AND(OR($O$2="ASGNLB1",$O$2="ASGNLB2"),$O$3&gt;30,$A18&gt;49),0,
IF(AND(照護有術顯示判斷=2,'試算表(16歲-65歲)'!A18&gt;=20,'試算表(16歲-65歲)'!A18&lt;=29),0,
VLOOKUP("P"&amp;REPT("0",2-LEN(商品年期))&amp;商品年期&amp;"S"&amp;"2"&amp;"A"&amp;REPT("0",2-LEN(A18))&amp;A18,INDIRECT(主約費率表),6,FALSE)*$O$3)))</f>
        <v>0</v>
      </c>
      <c r="P18" s="146">
        <f t="shared" si="8"/>
        <v>0</v>
      </c>
      <c r="Q18" s="146">
        <f t="shared" si="9"/>
        <v>0</v>
      </c>
      <c r="R18" s="146">
        <f t="shared" si="10"/>
        <v>0</v>
      </c>
      <c r="S18" s="146">
        <f t="shared" si="11"/>
        <v>0</v>
      </c>
      <c r="T18" s="146">
        <f t="shared" si="12"/>
        <v>0</v>
      </c>
      <c r="U18" s="146" cm="1">
        <f t="array" ref="U18">IF(OR(A18="",$U$3=0),0,IF(ISERROR($U$3),0,ROUND(INDEX(MT_NP,1,職業等級)+(MAX(0,MT保額-3)*INDEX(MT_NP,2,職業等級)),0)))</f>
        <v>0</v>
      </c>
      <c r="V18" s="146">
        <f t="shared" si="13"/>
        <v>0</v>
      </c>
      <c r="W18" s="146">
        <f t="shared" si="14"/>
        <v>0</v>
      </c>
      <c r="X18" s="146">
        <f t="shared" si="15"/>
        <v>0</v>
      </c>
      <c r="Y18" s="146"/>
      <c r="Z18" s="146"/>
      <c r="AA18" s="153"/>
    </row>
    <row r="19" spans="1:27">
      <c r="A19" s="149" t="str">
        <f t="shared" si="16"/>
        <v/>
      </c>
      <c r="B19" s="150">
        <f ca="1">IF(OR(A19="",$B$3=0),0,
IF(AND(OR($B$2="ASGNLB1",$B$2="ASGNLB2"),$B$3&gt;30,$A19&gt;49),0,
IF(AND(照護有術顯示判斷=2,'試算表(16歲-65歲)'!A19&gt;=20,'試算表(16歲-65歲)'!A19&lt;=29),0,
VLOOKUP("P"&amp;REPT("0",2-LEN(商品年期))&amp;商品年期&amp;"S"&amp;"1"&amp;"A"&amp;REPT("0",2-LEN(A19))&amp;A19,INDIRECT(主約費率表),6,FALSE)*$B$3)))</f>
        <v>0</v>
      </c>
      <c r="C19" s="150">
        <f t="shared" si="0"/>
        <v>0</v>
      </c>
      <c r="D19" s="150">
        <f t="shared" si="1"/>
        <v>0</v>
      </c>
      <c r="E19" s="150">
        <f t="shared" si="2"/>
        <v>0</v>
      </c>
      <c r="F19" s="150">
        <f t="shared" si="3"/>
        <v>0</v>
      </c>
      <c r="G19" s="151">
        <f t="shared" si="4"/>
        <v>0</v>
      </c>
      <c r="H19" s="151" cm="1">
        <f t="array" ref="H19">IF(OR(A19="",$H$3=0),0,IF(ISERROR($H$3),0,ROUND(INDEX(MT_NP,1,職業等級)+(MAX(0,MT保額-3)*INDEX(MT_NP,2,職業等級)),0)))</f>
        <v>0</v>
      </c>
      <c r="I19" s="150">
        <f t="shared" si="5"/>
        <v>0</v>
      </c>
      <c r="J19" s="150">
        <f t="shared" si="6"/>
        <v>0</v>
      </c>
      <c r="K19" s="150">
        <f t="shared" si="7"/>
        <v>0</v>
      </c>
      <c r="L19" s="150"/>
      <c r="M19" s="150"/>
      <c r="N19" s="152"/>
      <c r="O19" s="146">
        <f ca="1">IF(OR(A19="",$O$3=0),0,
IF(AND(OR($O$2="ASGNLB1",$O$2="ASGNLB2"),$O$3&gt;30,$A19&gt;49),0,
IF(AND(照護有術顯示判斷=2,'試算表(16歲-65歲)'!A19&gt;=20,'試算表(16歲-65歲)'!A19&lt;=29),0,
VLOOKUP("P"&amp;REPT("0",2-LEN(商品年期))&amp;商品年期&amp;"S"&amp;"2"&amp;"A"&amp;REPT("0",2-LEN(A19))&amp;A19,INDIRECT(主約費率表),6,FALSE)*$O$3)))</f>
        <v>0</v>
      </c>
      <c r="P19" s="146">
        <f t="shared" si="8"/>
        <v>0</v>
      </c>
      <c r="Q19" s="146">
        <f t="shared" si="9"/>
        <v>0</v>
      </c>
      <c r="R19" s="146">
        <f t="shared" si="10"/>
        <v>0</v>
      </c>
      <c r="S19" s="146">
        <f t="shared" si="11"/>
        <v>0</v>
      </c>
      <c r="T19" s="146">
        <f t="shared" si="12"/>
        <v>0</v>
      </c>
      <c r="U19" s="146" cm="1">
        <f t="array" ref="U19">IF(OR(A19="",$U$3=0),0,IF(ISERROR($U$3),0,ROUND(INDEX(MT_NP,1,職業等級)+(MAX(0,MT保額-3)*INDEX(MT_NP,2,職業等級)),0)))</f>
        <v>0</v>
      </c>
      <c r="V19" s="146">
        <f t="shared" si="13"/>
        <v>0</v>
      </c>
      <c r="W19" s="146">
        <f t="shared" si="14"/>
        <v>0</v>
      </c>
      <c r="X19" s="146">
        <f t="shared" si="15"/>
        <v>0</v>
      </c>
      <c r="Y19" s="146"/>
      <c r="Z19" s="146"/>
      <c r="AA19" s="153"/>
    </row>
    <row r="20" spans="1:27">
      <c r="A20" s="149" t="str">
        <f t="shared" si="16"/>
        <v/>
      </c>
      <c r="B20" s="150">
        <f ca="1">IF(OR(A20="",$B$3=0),0,
IF(AND(OR($B$2="ASGNLB1",$B$2="ASGNLB2"),$B$3&gt;30,$A20&gt;49),0,
IF(AND(照護有術顯示判斷=2,'試算表(16歲-65歲)'!A20&gt;=20,'試算表(16歲-65歲)'!A20&lt;=29),0,
VLOOKUP("P"&amp;REPT("0",2-LEN(商品年期))&amp;商品年期&amp;"S"&amp;"1"&amp;"A"&amp;REPT("0",2-LEN(A20))&amp;A20,INDIRECT(主約費率表),6,FALSE)*$B$3)))</f>
        <v>0</v>
      </c>
      <c r="C20" s="150">
        <f t="shared" si="0"/>
        <v>0</v>
      </c>
      <c r="D20" s="150">
        <f t="shared" si="1"/>
        <v>0</v>
      </c>
      <c r="E20" s="150">
        <f t="shared" si="2"/>
        <v>0</v>
      </c>
      <c r="F20" s="150">
        <f t="shared" si="3"/>
        <v>0</v>
      </c>
      <c r="G20" s="151">
        <f t="shared" si="4"/>
        <v>0</v>
      </c>
      <c r="H20" s="151" cm="1">
        <f t="array" ref="H20">IF(OR(A20="",$H$3=0),0,IF(ISERROR($H$3),0,ROUND(INDEX(MT_NP,1,職業等級)+(MAX(0,MT保額-3)*INDEX(MT_NP,2,職業等級)),0)))</f>
        <v>0</v>
      </c>
      <c r="I20" s="150">
        <f t="shared" si="5"/>
        <v>0</v>
      </c>
      <c r="J20" s="150">
        <f t="shared" si="6"/>
        <v>0</v>
      </c>
      <c r="K20" s="150">
        <f t="shared" si="7"/>
        <v>0</v>
      </c>
      <c r="L20" s="150"/>
      <c r="M20" s="150"/>
      <c r="N20" s="152"/>
      <c r="O20" s="146">
        <f ca="1">IF(OR(A20="",$O$3=0),0,
IF(AND(OR($O$2="ASGNLB1",$O$2="ASGNLB2"),$O$3&gt;30,$A20&gt;49),0,
IF(AND(照護有術顯示判斷=2,'試算表(16歲-65歲)'!A20&gt;=20,'試算表(16歲-65歲)'!A20&lt;=29),0,
VLOOKUP("P"&amp;REPT("0",2-LEN(商品年期))&amp;商品年期&amp;"S"&amp;"2"&amp;"A"&amp;REPT("0",2-LEN(A20))&amp;A20,INDIRECT(主約費率表),6,FALSE)*$O$3)))</f>
        <v>0</v>
      </c>
      <c r="P20" s="146">
        <f t="shared" si="8"/>
        <v>0</v>
      </c>
      <c r="Q20" s="146">
        <f t="shared" si="9"/>
        <v>0</v>
      </c>
      <c r="R20" s="146">
        <f t="shared" si="10"/>
        <v>0</v>
      </c>
      <c r="S20" s="146">
        <f t="shared" si="11"/>
        <v>0</v>
      </c>
      <c r="T20" s="146">
        <f t="shared" si="12"/>
        <v>0</v>
      </c>
      <c r="U20" s="146" cm="1">
        <f t="array" ref="U20">IF(OR(A20="",$U$3=0),0,IF(ISERROR($U$3),0,ROUND(INDEX(MT_NP,1,職業等級)+(MAX(0,MT保額-3)*INDEX(MT_NP,2,職業等級)),0)))</f>
        <v>0</v>
      </c>
      <c r="V20" s="146">
        <f t="shared" si="13"/>
        <v>0</v>
      </c>
      <c r="W20" s="146">
        <f t="shared" si="14"/>
        <v>0</v>
      </c>
      <c r="X20" s="146">
        <f t="shared" si="15"/>
        <v>0</v>
      </c>
      <c r="Y20" s="146"/>
      <c r="Z20" s="146"/>
      <c r="AA20" s="153"/>
    </row>
    <row r="21" spans="1:27">
      <c r="A21" s="149" t="str">
        <f t="shared" si="16"/>
        <v/>
      </c>
      <c r="B21" s="150">
        <f ca="1">IF(OR(A21="",$B$3=0),0,
IF(AND(OR($B$2="ASGNLB1",$B$2="ASGNLB2"),$B$3&gt;30,$A21&gt;49),0,
IF(AND(照護有術顯示判斷=2,'試算表(16歲-65歲)'!A21&gt;=20,'試算表(16歲-65歲)'!A21&lt;=29),0,
VLOOKUP("P"&amp;REPT("0",2-LEN(商品年期))&amp;商品年期&amp;"S"&amp;"1"&amp;"A"&amp;REPT("0",2-LEN(A21))&amp;A21,INDIRECT(主約費率表),6,FALSE)*$B$3)))</f>
        <v>0</v>
      </c>
      <c r="C21" s="150">
        <f t="shared" si="0"/>
        <v>0</v>
      </c>
      <c r="D21" s="150">
        <f t="shared" si="1"/>
        <v>0</v>
      </c>
      <c r="E21" s="150">
        <f t="shared" si="2"/>
        <v>0</v>
      </c>
      <c r="F21" s="150">
        <f t="shared" si="3"/>
        <v>0</v>
      </c>
      <c r="G21" s="151">
        <f t="shared" si="4"/>
        <v>0</v>
      </c>
      <c r="H21" s="151" cm="1">
        <f t="array" ref="H21">IF(OR(A21="",$H$3=0),0,IF(ISERROR($H$3),0,ROUND(INDEX(MT_NP,1,職業等級)+(MAX(0,MT保額-3)*INDEX(MT_NP,2,職業等級)),0)))</f>
        <v>0</v>
      </c>
      <c r="I21" s="150">
        <f t="shared" si="5"/>
        <v>0</v>
      </c>
      <c r="J21" s="150">
        <f t="shared" si="6"/>
        <v>0</v>
      </c>
      <c r="K21" s="150">
        <f t="shared" si="7"/>
        <v>0</v>
      </c>
      <c r="L21" s="150"/>
      <c r="M21" s="150"/>
      <c r="N21" s="152"/>
      <c r="O21" s="146">
        <f ca="1">IF(OR(A21="",$O$3=0),0,
IF(AND(OR($O$2="ASGNLB1",$O$2="ASGNLB2"),$O$3&gt;30,$A21&gt;49),0,
IF(AND(照護有術顯示判斷=2,'試算表(16歲-65歲)'!A21&gt;=20,'試算表(16歲-65歲)'!A21&lt;=29),0,
VLOOKUP("P"&amp;REPT("0",2-LEN(商品年期))&amp;商品年期&amp;"S"&amp;"2"&amp;"A"&amp;REPT("0",2-LEN(A21))&amp;A21,INDIRECT(主約費率表),6,FALSE)*$O$3)))</f>
        <v>0</v>
      </c>
      <c r="P21" s="146">
        <f t="shared" si="8"/>
        <v>0</v>
      </c>
      <c r="Q21" s="146">
        <f t="shared" si="9"/>
        <v>0</v>
      </c>
      <c r="R21" s="146">
        <f t="shared" si="10"/>
        <v>0</v>
      </c>
      <c r="S21" s="146">
        <f t="shared" si="11"/>
        <v>0</v>
      </c>
      <c r="T21" s="146">
        <f t="shared" si="12"/>
        <v>0</v>
      </c>
      <c r="U21" s="146" cm="1">
        <f t="array" ref="U21">IF(OR(A21="",$U$3=0),0,IF(ISERROR($U$3),0,ROUND(INDEX(MT_NP,1,職業等級)+(MAX(0,MT保額-3)*INDEX(MT_NP,2,職業等級)),0)))</f>
        <v>0</v>
      </c>
      <c r="V21" s="146">
        <f t="shared" si="13"/>
        <v>0</v>
      </c>
      <c r="W21" s="146">
        <f t="shared" si="14"/>
        <v>0</v>
      </c>
      <c r="X21" s="146">
        <f t="shared" si="15"/>
        <v>0</v>
      </c>
      <c r="Y21" s="146"/>
      <c r="Z21" s="146"/>
      <c r="AA21" s="153"/>
    </row>
    <row r="22" spans="1:27">
      <c r="A22" s="149" t="str">
        <f t="shared" si="16"/>
        <v/>
      </c>
      <c r="B22" s="150">
        <f ca="1">IF(OR(A22="",$B$3=0),0,
IF(AND(OR($B$2="ASGNLB1",$B$2="ASGNLB2"),$B$3&gt;30,$A22&gt;49),0,
IF(AND(照護有術顯示判斷=2,'試算表(16歲-65歲)'!A22&gt;=20,'試算表(16歲-65歲)'!A22&lt;=29),0,
VLOOKUP("P"&amp;REPT("0",2-LEN(商品年期))&amp;商品年期&amp;"S"&amp;"1"&amp;"A"&amp;REPT("0",2-LEN(A22))&amp;A22,INDIRECT(主約費率表),6,FALSE)*$B$3)))</f>
        <v>0</v>
      </c>
      <c r="C22" s="150">
        <f t="shared" si="0"/>
        <v>0</v>
      </c>
      <c r="D22" s="150">
        <f t="shared" si="1"/>
        <v>0</v>
      </c>
      <c r="E22" s="150">
        <f t="shared" si="2"/>
        <v>0</v>
      </c>
      <c r="F22" s="150">
        <f t="shared" si="3"/>
        <v>0</v>
      </c>
      <c r="G22" s="151">
        <f t="shared" si="4"/>
        <v>0</v>
      </c>
      <c r="H22" s="151" cm="1">
        <f t="array" ref="H22">IF(OR(A22="",$H$3=0),0,IF(ISERROR($H$3),0,ROUND(INDEX(MT_NP,1,職業等級)+(MAX(0,MT保額-3)*INDEX(MT_NP,2,職業等級)),0)))</f>
        <v>0</v>
      </c>
      <c r="I22" s="150">
        <f t="shared" si="5"/>
        <v>0</v>
      </c>
      <c r="J22" s="150">
        <f t="shared" si="6"/>
        <v>0</v>
      </c>
      <c r="K22" s="150">
        <f t="shared" si="7"/>
        <v>0</v>
      </c>
      <c r="L22" s="150"/>
      <c r="M22" s="150"/>
      <c r="N22" s="152"/>
      <c r="O22" s="146">
        <f ca="1">IF(OR(A22="",$O$3=0),0,
IF(AND(OR($O$2="ASGNLB1",$O$2="ASGNLB2"),$O$3&gt;30,$A22&gt;49),0,
IF(AND(照護有術顯示判斷=2,'試算表(16歲-65歲)'!A22&gt;=20,'試算表(16歲-65歲)'!A22&lt;=29),0,
VLOOKUP("P"&amp;REPT("0",2-LEN(商品年期))&amp;商品年期&amp;"S"&amp;"2"&amp;"A"&amp;REPT("0",2-LEN(A22))&amp;A22,INDIRECT(主約費率表),6,FALSE)*$O$3)))</f>
        <v>0</v>
      </c>
      <c r="P22" s="146">
        <f t="shared" si="8"/>
        <v>0</v>
      </c>
      <c r="Q22" s="146">
        <f t="shared" si="9"/>
        <v>0</v>
      </c>
      <c r="R22" s="146">
        <f t="shared" si="10"/>
        <v>0</v>
      </c>
      <c r="S22" s="146">
        <f t="shared" si="11"/>
        <v>0</v>
      </c>
      <c r="T22" s="146">
        <f t="shared" si="12"/>
        <v>0</v>
      </c>
      <c r="U22" s="146" cm="1">
        <f t="array" ref="U22">IF(OR(A22="",$U$3=0),0,IF(ISERROR($U$3),0,ROUND(INDEX(MT_NP,1,職業等級)+(MAX(0,MT保額-3)*INDEX(MT_NP,2,職業等級)),0)))</f>
        <v>0</v>
      </c>
      <c r="V22" s="146">
        <f t="shared" si="13"/>
        <v>0</v>
      </c>
      <c r="W22" s="146">
        <f t="shared" si="14"/>
        <v>0</v>
      </c>
      <c r="X22" s="146">
        <f t="shared" si="15"/>
        <v>0</v>
      </c>
      <c r="Y22" s="146"/>
      <c r="Z22" s="146"/>
      <c r="AA22" s="153"/>
    </row>
    <row r="23" spans="1:27">
      <c r="A23" s="149" t="str">
        <f t="shared" si="16"/>
        <v/>
      </c>
      <c r="B23" s="150">
        <f ca="1">IF(OR(A23="",$B$3=0),0,
IF(AND(OR($B$2="ASGNLB1",$B$2="ASGNLB2"),$B$3&gt;30,$A23&gt;49),0,
IF(AND(照護有術顯示判斷=2,'試算表(16歲-65歲)'!A23&gt;=20,'試算表(16歲-65歲)'!A23&lt;=29),0,
VLOOKUP("P"&amp;REPT("0",2-LEN(商品年期))&amp;商品年期&amp;"S"&amp;"1"&amp;"A"&amp;REPT("0",2-LEN(A23))&amp;A23,INDIRECT(主約費率表),6,FALSE)*$B$3)))</f>
        <v>0</v>
      </c>
      <c r="C23" s="150">
        <f t="shared" si="0"/>
        <v>0</v>
      </c>
      <c r="D23" s="150">
        <f t="shared" si="1"/>
        <v>0</v>
      </c>
      <c r="E23" s="150">
        <f t="shared" si="2"/>
        <v>0</v>
      </c>
      <c r="F23" s="150">
        <f t="shared" si="3"/>
        <v>0</v>
      </c>
      <c r="G23" s="151">
        <f t="shared" si="4"/>
        <v>0</v>
      </c>
      <c r="H23" s="151" cm="1">
        <f t="array" ref="H23">IF(OR(A23="",$H$3=0),0,IF(ISERROR($H$3),0,ROUND(INDEX(MT_NP,1,職業等級)+(MAX(0,MT保額-3)*INDEX(MT_NP,2,職業等級)),0)))</f>
        <v>0</v>
      </c>
      <c r="I23" s="150">
        <f t="shared" si="5"/>
        <v>0</v>
      </c>
      <c r="J23" s="150">
        <f t="shared" si="6"/>
        <v>0</v>
      </c>
      <c r="K23" s="150">
        <f t="shared" si="7"/>
        <v>0</v>
      </c>
      <c r="L23" s="150"/>
      <c r="M23" s="150"/>
      <c r="N23" s="152"/>
      <c r="O23" s="146">
        <f ca="1">IF(OR(A23="",$O$3=0),0,
IF(AND(OR($O$2="ASGNLB1",$O$2="ASGNLB2"),$O$3&gt;30,$A23&gt;49),0,
IF(AND(照護有術顯示判斷=2,'試算表(16歲-65歲)'!A23&gt;=20,'試算表(16歲-65歲)'!A23&lt;=29),0,
VLOOKUP("P"&amp;REPT("0",2-LEN(商品年期))&amp;商品年期&amp;"S"&amp;"2"&amp;"A"&amp;REPT("0",2-LEN(A23))&amp;A23,INDIRECT(主約費率表),6,FALSE)*$O$3)))</f>
        <v>0</v>
      </c>
      <c r="P23" s="146">
        <f t="shared" si="8"/>
        <v>0</v>
      </c>
      <c r="Q23" s="146">
        <f t="shared" si="9"/>
        <v>0</v>
      </c>
      <c r="R23" s="146">
        <f t="shared" si="10"/>
        <v>0</v>
      </c>
      <c r="S23" s="146">
        <f t="shared" si="11"/>
        <v>0</v>
      </c>
      <c r="T23" s="146">
        <f t="shared" si="12"/>
        <v>0</v>
      </c>
      <c r="U23" s="146" cm="1">
        <f t="array" ref="U23">IF(OR(A23="",$U$3=0),0,IF(ISERROR($U$3),0,ROUND(INDEX(MT_NP,1,職業等級)+(MAX(0,MT保額-3)*INDEX(MT_NP,2,職業等級)),0)))</f>
        <v>0</v>
      </c>
      <c r="V23" s="146">
        <f t="shared" si="13"/>
        <v>0</v>
      </c>
      <c r="W23" s="146">
        <f t="shared" si="14"/>
        <v>0</v>
      </c>
      <c r="X23" s="146">
        <f t="shared" si="15"/>
        <v>0</v>
      </c>
      <c r="Y23" s="146"/>
      <c r="Z23" s="146"/>
      <c r="AA23" s="153"/>
    </row>
    <row r="24" spans="1:27">
      <c r="A24" s="149" t="str">
        <f t="shared" si="16"/>
        <v/>
      </c>
      <c r="B24" s="150">
        <f ca="1">IF(OR(A24="",$B$3=0),0,
IF(AND(OR($B$2="ASGNLB1",$B$2="ASGNLB2"),$B$3&gt;30,$A24&gt;49),0,
IF(AND(照護有術顯示判斷=2,'試算表(16歲-65歲)'!A24&gt;=20,'試算表(16歲-65歲)'!A24&lt;=29),0,
VLOOKUP("P"&amp;REPT("0",2-LEN(商品年期))&amp;商品年期&amp;"S"&amp;"1"&amp;"A"&amp;REPT("0",2-LEN(A24))&amp;A24,INDIRECT(主約費率表),6,FALSE)*$B$3)))</f>
        <v>0</v>
      </c>
      <c r="C24" s="150">
        <f t="shared" si="0"/>
        <v>0</v>
      </c>
      <c r="D24" s="150">
        <f t="shared" si="1"/>
        <v>0</v>
      </c>
      <c r="E24" s="150">
        <f t="shared" si="2"/>
        <v>0</v>
      </c>
      <c r="F24" s="150">
        <f t="shared" si="3"/>
        <v>0</v>
      </c>
      <c r="G24" s="151">
        <f t="shared" si="4"/>
        <v>0</v>
      </c>
      <c r="H24" s="151" cm="1">
        <f t="array" ref="H24">IF(OR(A24="",$H$3=0),0,IF(ISERROR($H$3),0,ROUND(INDEX(MT_NP,1,職業等級)+(MAX(0,MT保額-3)*INDEX(MT_NP,2,職業等級)),0)))</f>
        <v>0</v>
      </c>
      <c r="I24" s="150">
        <f t="shared" si="5"/>
        <v>0</v>
      </c>
      <c r="J24" s="150">
        <f t="shared" si="6"/>
        <v>0</v>
      </c>
      <c r="K24" s="150">
        <f t="shared" si="7"/>
        <v>0</v>
      </c>
      <c r="L24" s="150"/>
      <c r="M24" s="150"/>
      <c r="N24" s="152"/>
      <c r="O24" s="146">
        <f ca="1">IF(OR(A24="",$O$3=0),0,
IF(AND(OR($O$2="ASGNLB1",$O$2="ASGNLB2"),$O$3&gt;30,$A24&gt;49),0,
IF(AND(照護有術顯示判斷=2,'試算表(16歲-65歲)'!A24&gt;=20,'試算表(16歲-65歲)'!A24&lt;=29),0,
VLOOKUP("P"&amp;REPT("0",2-LEN(商品年期))&amp;商品年期&amp;"S"&amp;"2"&amp;"A"&amp;REPT("0",2-LEN(A24))&amp;A24,INDIRECT(主約費率表),6,FALSE)*$O$3)))</f>
        <v>0</v>
      </c>
      <c r="P24" s="146">
        <f t="shared" si="8"/>
        <v>0</v>
      </c>
      <c r="Q24" s="146">
        <f t="shared" si="9"/>
        <v>0</v>
      </c>
      <c r="R24" s="146">
        <f t="shared" si="10"/>
        <v>0</v>
      </c>
      <c r="S24" s="146">
        <f t="shared" si="11"/>
        <v>0</v>
      </c>
      <c r="T24" s="146">
        <f t="shared" si="12"/>
        <v>0</v>
      </c>
      <c r="U24" s="146" cm="1">
        <f t="array" ref="U24">IF(OR(A24="",$U$3=0),0,IF(ISERROR($U$3),0,ROUND(INDEX(MT_NP,1,職業等級)+(MAX(0,MT保額-3)*INDEX(MT_NP,2,職業等級)),0)))</f>
        <v>0</v>
      </c>
      <c r="V24" s="146">
        <f t="shared" si="13"/>
        <v>0</v>
      </c>
      <c r="W24" s="146">
        <f t="shared" si="14"/>
        <v>0</v>
      </c>
      <c r="X24" s="146">
        <f t="shared" si="15"/>
        <v>0</v>
      </c>
      <c r="Y24" s="146"/>
      <c r="Z24" s="146"/>
      <c r="AA24" s="153"/>
    </row>
    <row r="25" spans="1:27">
      <c r="A25" s="149" t="str">
        <f t="shared" si="16"/>
        <v/>
      </c>
      <c r="B25" s="150">
        <f ca="1">IF(OR(A25="",$B$3=0),0,
IF(AND(OR($B$2="ASGNLB1",$B$2="ASGNLB2"),$B$3&gt;30,$A25&gt;49),0,
IF(AND(照護有術顯示判斷=2,'試算表(16歲-65歲)'!A25&gt;=20,'試算表(16歲-65歲)'!A25&lt;=29),0,
VLOOKUP("P"&amp;REPT("0",2-LEN(商品年期))&amp;商品年期&amp;"S"&amp;"1"&amp;"A"&amp;REPT("0",2-LEN(A25))&amp;A25,INDIRECT(主約費率表),6,FALSE)*$B$3)))</f>
        <v>0</v>
      </c>
      <c r="C25" s="150">
        <f t="shared" si="0"/>
        <v>0</v>
      </c>
      <c r="D25" s="150">
        <f t="shared" si="1"/>
        <v>0</v>
      </c>
      <c r="E25" s="150">
        <f t="shared" si="2"/>
        <v>0</v>
      </c>
      <c r="F25" s="150">
        <f t="shared" si="3"/>
        <v>0</v>
      </c>
      <c r="G25" s="151">
        <f t="shared" si="4"/>
        <v>0</v>
      </c>
      <c r="H25" s="151" cm="1">
        <f t="array" ref="H25">IF(OR(A25="",$H$3=0),0,IF(ISERROR($H$3),0,ROUND(INDEX(MT_NP,1,職業等級)+(MAX(0,MT保額-3)*INDEX(MT_NP,2,職業等級)),0)))</f>
        <v>0</v>
      </c>
      <c r="I25" s="150">
        <f t="shared" si="5"/>
        <v>0</v>
      </c>
      <c r="J25" s="150">
        <f t="shared" si="6"/>
        <v>0</v>
      </c>
      <c r="K25" s="150">
        <f t="shared" si="7"/>
        <v>0</v>
      </c>
      <c r="L25" s="150"/>
      <c r="M25" s="150"/>
      <c r="N25" s="152"/>
      <c r="O25" s="146">
        <f ca="1">IF(OR(A25="",$O$3=0),0,
IF(AND(OR($O$2="ASGNLB1",$O$2="ASGNLB2"),$O$3&gt;30,$A25&gt;49),0,
IF(AND(照護有術顯示判斷=2,'試算表(16歲-65歲)'!A25&gt;=20,'試算表(16歲-65歲)'!A25&lt;=29),0,
VLOOKUP("P"&amp;REPT("0",2-LEN(商品年期))&amp;商品年期&amp;"S"&amp;"2"&amp;"A"&amp;REPT("0",2-LEN(A25))&amp;A25,INDIRECT(主約費率表),6,FALSE)*$O$3)))</f>
        <v>0</v>
      </c>
      <c r="P25" s="146">
        <f t="shared" si="8"/>
        <v>0</v>
      </c>
      <c r="Q25" s="146">
        <f t="shared" si="9"/>
        <v>0</v>
      </c>
      <c r="R25" s="146">
        <f t="shared" si="10"/>
        <v>0</v>
      </c>
      <c r="S25" s="146">
        <f t="shared" si="11"/>
        <v>0</v>
      </c>
      <c r="T25" s="146">
        <f t="shared" si="12"/>
        <v>0</v>
      </c>
      <c r="U25" s="146" cm="1">
        <f t="array" ref="U25">IF(OR(A25="",$U$3=0),0,IF(ISERROR($U$3),0,ROUND(INDEX(MT_NP,1,職業等級)+(MAX(0,MT保額-3)*INDEX(MT_NP,2,職業等級)),0)))</f>
        <v>0</v>
      </c>
      <c r="V25" s="146">
        <f t="shared" si="13"/>
        <v>0</v>
      </c>
      <c r="W25" s="146">
        <f t="shared" si="14"/>
        <v>0</v>
      </c>
      <c r="X25" s="146">
        <f t="shared" si="15"/>
        <v>0</v>
      </c>
      <c r="Y25" s="146"/>
      <c r="Z25" s="146"/>
      <c r="AA25" s="153"/>
    </row>
    <row r="26" spans="1:27">
      <c r="A26" s="149" t="str">
        <f t="shared" si="16"/>
        <v/>
      </c>
      <c r="B26" s="150">
        <f ca="1">IF(OR(A26="",$B$3=0),0,
IF(AND(OR($B$2="ASGNLB1",$B$2="ASGNLB2"),$B$3&gt;30,$A26&gt;49),0,
IF(AND(照護有術顯示判斷=2,'試算表(16歲-65歲)'!A26&gt;=20,'試算表(16歲-65歲)'!A26&lt;=29),0,
VLOOKUP("P"&amp;REPT("0",2-LEN(商品年期))&amp;商品年期&amp;"S"&amp;"1"&amp;"A"&amp;REPT("0",2-LEN(A26))&amp;A26,INDIRECT(主約費率表),6,FALSE)*$B$3)))</f>
        <v>0</v>
      </c>
      <c r="C26" s="150">
        <f t="shared" si="0"/>
        <v>0</v>
      </c>
      <c r="D26" s="150">
        <f t="shared" si="1"/>
        <v>0</v>
      </c>
      <c r="E26" s="150">
        <f t="shared" si="2"/>
        <v>0</v>
      </c>
      <c r="F26" s="150">
        <f t="shared" si="3"/>
        <v>0</v>
      </c>
      <c r="G26" s="151">
        <f t="shared" si="4"/>
        <v>0</v>
      </c>
      <c r="H26" s="151" cm="1">
        <f t="array" ref="H26">IF(OR(A26="",$H$3=0),0,IF(ISERROR($H$3),0,ROUND(INDEX(MT_NP,1,職業等級)+(MAX(0,MT保額-3)*INDEX(MT_NP,2,職業等級)),0)))</f>
        <v>0</v>
      </c>
      <c r="I26" s="150">
        <f t="shared" si="5"/>
        <v>0</v>
      </c>
      <c r="J26" s="150">
        <f t="shared" si="6"/>
        <v>0</v>
      </c>
      <c r="K26" s="150">
        <f t="shared" si="7"/>
        <v>0</v>
      </c>
      <c r="L26" s="150"/>
      <c r="M26" s="150"/>
      <c r="N26" s="152"/>
      <c r="O26" s="146">
        <f ca="1">IF(OR(A26="",$O$3=0),0,
IF(AND(OR($O$2="ASGNLB1",$O$2="ASGNLB2"),$O$3&gt;30,$A26&gt;49),0,
IF(AND(照護有術顯示判斷=2,'試算表(16歲-65歲)'!A26&gt;=20,'試算表(16歲-65歲)'!A26&lt;=29),0,
VLOOKUP("P"&amp;REPT("0",2-LEN(商品年期))&amp;商品年期&amp;"S"&amp;"2"&amp;"A"&amp;REPT("0",2-LEN(A26))&amp;A26,INDIRECT(主約費率表),6,FALSE)*$O$3)))</f>
        <v>0</v>
      </c>
      <c r="P26" s="146">
        <f t="shared" si="8"/>
        <v>0</v>
      </c>
      <c r="Q26" s="146">
        <f t="shared" si="9"/>
        <v>0</v>
      </c>
      <c r="R26" s="146">
        <f t="shared" si="10"/>
        <v>0</v>
      </c>
      <c r="S26" s="146">
        <f t="shared" si="11"/>
        <v>0</v>
      </c>
      <c r="T26" s="146">
        <f t="shared" si="12"/>
        <v>0</v>
      </c>
      <c r="U26" s="146" cm="1">
        <f t="array" ref="U26">IF(OR(A26="",$U$3=0),0,IF(ISERROR($U$3),0,ROUND(INDEX(MT_NP,1,職業等級)+(MAX(0,MT保額-3)*INDEX(MT_NP,2,職業等級)),0)))</f>
        <v>0</v>
      </c>
      <c r="V26" s="146">
        <f t="shared" si="13"/>
        <v>0</v>
      </c>
      <c r="W26" s="146">
        <f t="shared" si="14"/>
        <v>0</v>
      </c>
      <c r="X26" s="146">
        <f t="shared" si="15"/>
        <v>0</v>
      </c>
      <c r="Y26" s="146"/>
      <c r="Z26" s="146"/>
      <c r="AA26" s="153"/>
    </row>
    <row r="27" spans="1:27">
      <c r="A27" s="149" t="str">
        <f t="shared" si="16"/>
        <v/>
      </c>
      <c r="B27" s="150">
        <f ca="1">IF(OR(A27="",$B$3=0),0,
IF(AND(OR($B$2="ASGNLB1",$B$2="ASGNLB2"),$B$3&gt;30,$A27&gt;49),0,
IF(AND(照護有術顯示判斷=2,'試算表(16歲-65歲)'!A27&gt;=20,'試算表(16歲-65歲)'!A27&lt;=29),0,
VLOOKUP("P"&amp;REPT("0",2-LEN(商品年期))&amp;商品年期&amp;"S"&amp;"1"&amp;"A"&amp;REPT("0",2-LEN(A27))&amp;A27,INDIRECT(主約費率表),6,FALSE)*$B$3)))</f>
        <v>0</v>
      </c>
      <c r="C27" s="150">
        <f t="shared" si="0"/>
        <v>0</v>
      </c>
      <c r="D27" s="150">
        <f t="shared" si="1"/>
        <v>0</v>
      </c>
      <c r="E27" s="150">
        <f t="shared" si="2"/>
        <v>0</v>
      </c>
      <c r="F27" s="150">
        <f t="shared" si="3"/>
        <v>0</v>
      </c>
      <c r="G27" s="151">
        <f t="shared" si="4"/>
        <v>0</v>
      </c>
      <c r="H27" s="151" cm="1">
        <f t="array" ref="H27">IF(OR(A27="",$H$3=0),0,IF(ISERROR($H$3),0,ROUND(INDEX(MT_NP,1,職業等級)+(MAX(0,MT保額-3)*INDEX(MT_NP,2,職業等級)),0)))</f>
        <v>0</v>
      </c>
      <c r="I27" s="150">
        <f t="shared" si="5"/>
        <v>0</v>
      </c>
      <c r="J27" s="150">
        <f t="shared" si="6"/>
        <v>0</v>
      </c>
      <c r="K27" s="150">
        <f t="shared" si="7"/>
        <v>0</v>
      </c>
      <c r="L27" s="150"/>
      <c r="M27" s="150"/>
      <c r="N27" s="152"/>
      <c r="O27" s="146">
        <f ca="1">IF(OR(A27="",$O$3=0),0,
IF(AND(OR($O$2="ASGNLB1",$O$2="ASGNLB2"),$O$3&gt;30,$A27&gt;49),0,
IF(AND(照護有術顯示判斷=2,'試算表(16歲-65歲)'!A27&gt;=20,'試算表(16歲-65歲)'!A27&lt;=29),0,
VLOOKUP("P"&amp;REPT("0",2-LEN(商品年期))&amp;商品年期&amp;"S"&amp;"2"&amp;"A"&amp;REPT("0",2-LEN(A27))&amp;A27,INDIRECT(主約費率表),6,FALSE)*$O$3)))</f>
        <v>0</v>
      </c>
      <c r="P27" s="146">
        <f t="shared" si="8"/>
        <v>0</v>
      </c>
      <c r="Q27" s="146">
        <f t="shared" si="9"/>
        <v>0</v>
      </c>
      <c r="R27" s="146">
        <f t="shared" si="10"/>
        <v>0</v>
      </c>
      <c r="S27" s="146">
        <f t="shared" si="11"/>
        <v>0</v>
      </c>
      <c r="T27" s="146">
        <f t="shared" si="12"/>
        <v>0</v>
      </c>
      <c r="U27" s="146" cm="1">
        <f t="array" ref="U27">IF(OR(A27="",$U$3=0),0,IF(ISERROR($U$3),0,ROUND(INDEX(MT_NP,1,職業等級)+(MAX(0,MT保額-3)*INDEX(MT_NP,2,職業等級)),0)))</f>
        <v>0</v>
      </c>
      <c r="V27" s="146">
        <f t="shared" si="13"/>
        <v>0</v>
      </c>
      <c r="W27" s="146">
        <f t="shared" si="14"/>
        <v>0</v>
      </c>
      <c r="X27" s="146">
        <f t="shared" si="15"/>
        <v>0</v>
      </c>
      <c r="Y27" s="146"/>
      <c r="Z27" s="146"/>
      <c r="AA27" s="153"/>
    </row>
    <row r="28" spans="1:27">
      <c r="A28" s="149" t="str">
        <f t="shared" si="16"/>
        <v/>
      </c>
      <c r="B28" s="150">
        <f ca="1">IF(OR(A28="",$B$3=0),0,
IF(AND(OR($B$2="ASGNLB1",$B$2="ASGNLB2"),$B$3&gt;30,$A28&gt;49),0,
IF(AND(照護有術顯示判斷=2,'試算表(16歲-65歲)'!A28&gt;=20,'試算表(16歲-65歲)'!A28&lt;=29),0,
VLOOKUP("P"&amp;REPT("0",2-LEN(商品年期))&amp;商品年期&amp;"S"&amp;"1"&amp;"A"&amp;REPT("0",2-LEN(A28))&amp;A28,INDIRECT(主約費率表),6,FALSE)*$B$3)))</f>
        <v>0</v>
      </c>
      <c r="C28" s="150">
        <f t="shared" si="0"/>
        <v>0</v>
      </c>
      <c r="D28" s="150">
        <f t="shared" si="1"/>
        <v>0</v>
      </c>
      <c r="E28" s="150">
        <f t="shared" si="2"/>
        <v>0</v>
      </c>
      <c r="F28" s="150">
        <f t="shared" si="3"/>
        <v>0</v>
      </c>
      <c r="G28" s="151">
        <f t="shared" si="4"/>
        <v>0</v>
      </c>
      <c r="H28" s="151" cm="1">
        <f t="array" ref="H28">IF(OR(A28="",$H$3=0),0,IF(ISERROR($H$3),0,ROUND(INDEX(MT_NP,1,職業等級)+(MAX(0,MT保額-3)*INDEX(MT_NP,2,職業等級)),0)))</f>
        <v>0</v>
      </c>
      <c r="I28" s="150">
        <f t="shared" si="5"/>
        <v>0</v>
      </c>
      <c r="J28" s="150">
        <f t="shared" si="6"/>
        <v>0</v>
      </c>
      <c r="K28" s="150">
        <f t="shared" si="7"/>
        <v>0</v>
      </c>
      <c r="L28" s="150"/>
      <c r="M28" s="150"/>
      <c r="N28" s="152"/>
      <c r="O28" s="146">
        <f ca="1">IF(OR(A28="",$O$3=0),0,
IF(AND(OR($O$2="ASGNLB1",$O$2="ASGNLB2"),$O$3&gt;30,$A28&gt;49),0,
IF(AND(照護有術顯示判斷=2,'試算表(16歲-65歲)'!A28&gt;=20,'試算表(16歲-65歲)'!A28&lt;=29),0,
VLOOKUP("P"&amp;REPT("0",2-LEN(商品年期))&amp;商品年期&amp;"S"&amp;"2"&amp;"A"&amp;REPT("0",2-LEN(A28))&amp;A28,INDIRECT(主約費率表),6,FALSE)*$O$3)))</f>
        <v>0</v>
      </c>
      <c r="P28" s="146">
        <f t="shared" si="8"/>
        <v>0</v>
      </c>
      <c r="Q28" s="146">
        <f t="shared" si="9"/>
        <v>0</v>
      </c>
      <c r="R28" s="146">
        <f t="shared" si="10"/>
        <v>0</v>
      </c>
      <c r="S28" s="146">
        <f t="shared" si="11"/>
        <v>0</v>
      </c>
      <c r="T28" s="146">
        <f t="shared" si="12"/>
        <v>0</v>
      </c>
      <c r="U28" s="146" cm="1">
        <f t="array" ref="U28">IF(OR(A28="",$U$3=0),0,IF(ISERROR($U$3),0,ROUND(INDEX(MT_NP,1,職業等級)+(MAX(0,MT保額-3)*INDEX(MT_NP,2,職業等級)),0)))</f>
        <v>0</v>
      </c>
      <c r="V28" s="146">
        <f t="shared" si="13"/>
        <v>0</v>
      </c>
      <c r="W28" s="146">
        <f t="shared" si="14"/>
        <v>0</v>
      </c>
      <c r="X28" s="146">
        <f t="shared" si="15"/>
        <v>0</v>
      </c>
      <c r="Y28" s="146"/>
      <c r="Z28" s="146"/>
      <c r="AA28" s="153"/>
    </row>
    <row r="29" spans="1:27">
      <c r="A29" s="149" t="str">
        <f t="shared" si="16"/>
        <v/>
      </c>
      <c r="B29" s="150">
        <f ca="1">IF(OR(A29="",$B$3=0),0,
IF(AND(OR($B$2="ASGNLB1",$B$2="ASGNLB2"),$B$3&gt;30,$A29&gt;49),0,
IF(AND(照護有術顯示判斷=2,'試算表(16歲-65歲)'!A29&gt;=20,'試算表(16歲-65歲)'!A29&lt;=29),0,
VLOOKUP("P"&amp;REPT("0",2-LEN(商品年期))&amp;商品年期&amp;"S"&amp;"1"&amp;"A"&amp;REPT("0",2-LEN(A29))&amp;A29,INDIRECT(主約費率表),6,FALSE)*$B$3)))</f>
        <v>0</v>
      </c>
      <c r="C29" s="150">
        <f t="shared" si="0"/>
        <v>0</v>
      </c>
      <c r="D29" s="150">
        <f t="shared" si="1"/>
        <v>0</v>
      </c>
      <c r="E29" s="150">
        <f t="shared" si="2"/>
        <v>0</v>
      </c>
      <c r="F29" s="150">
        <f t="shared" si="3"/>
        <v>0</v>
      </c>
      <c r="G29" s="151">
        <f t="shared" si="4"/>
        <v>0</v>
      </c>
      <c r="H29" s="151" cm="1">
        <f t="array" ref="H29">IF(OR(A29="",$H$3=0),0,IF(ISERROR($H$3),0,ROUND(INDEX(MT_NP,1,職業等級)+(MAX(0,MT保額-3)*INDEX(MT_NP,2,職業等級)),0)))</f>
        <v>0</v>
      </c>
      <c r="I29" s="150">
        <f t="shared" si="5"/>
        <v>0</v>
      </c>
      <c r="J29" s="150">
        <f t="shared" si="6"/>
        <v>0</v>
      </c>
      <c r="K29" s="150">
        <f t="shared" si="7"/>
        <v>0</v>
      </c>
      <c r="L29" s="150"/>
      <c r="M29" s="150"/>
      <c r="N29" s="152"/>
      <c r="O29" s="146">
        <f ca="1">IF(OR(A29="",$O$3=0),0,
IF(AND(OR($O$2="ASGNLB1",$O$2="ASGNLB2"),$O$3&gt;30,$A29&gt;49),0,
IF(AND(照護有術顯示判斷=2,'試算表(16歲-65歲)'!A29&gt;=20,'試算表(16歲-65歲)'!A29&lt;=29),0,
VLOOKUP("P"&amp;REPT("0",2-LEN(商品年期))&amp;商品年期&amp;"S"&amp;"2"&amp;"A"&amp;REPT("0",2-LEN(A29))&amp;A29,INDIRECT(主約費率表),6,FALSE)*$O$3)))</f>
        <v>0</v>
      </c>
      <c r="P29" s="146">
        <f t="shared" si="8"/>
        <v>0</v>
      </c>
      <c r="Q29" s="146">
        <f t="shared" si="9"/>
        <v>0</v>
      </c>
      <c r="R29" s="146">
        <f t="shared" si="10"/>
        <v>0</v>
      </c>
      <c r="S29" s="146">
        <f t="shared" si="11"/>
        <v>0</v>
      </c>
      <c r="T29" s="146">
        <f t="shared" si="12"/>
        <v>0</v>
      </c>
      <c r="U29" s="146" cm="1">
        <f t="array" ref="U29">IF(OR(A29="",$U$3=0),0,IF(ISERROR($U$3),0,ROUND(INDEX(MT_NP,1,職業等級)+(MAX(0,MT保額-3)*INDEX(MT_NP,2,職業等級)),0)))</f>
        <v>0</v>
      </c>
      <c r="V29" s="146">
        <f t="shared" si="13"/>
        <v>0</v>
      </c>
      <c r="W29" s="146">
        <f t="shared" si="14"/>
        <v>0</v>
      </c>
      <c r="X29" s="146">
        <f t="shared" si="15"/>
        <v>0</v>
      </c>
      <c r="Y29" s="146"/>
      <c r="Z29" s="146"/>
      <c r="AA29" s="153"/>
    </row>
    <row r="30" spans="1:27">
      <c r="A30" s="149" t="str">
        <f t="shared" si="16"/>
        <v/>
      </c>
      <c r="B30" s="150">
        <f ca="1">IF(OR(A30="",$B$3=0),0,
IF(AND(OR($B$2="ASGNLB1",$B$2="ASGNLB2"),$B$3&gt;30,$A30&gt;49),0,
IF(AND(照護有術顯示判斷=2,'試算表(16歲-65歲)'!A30&gt;=20,'試算表(16歲-65歲)'!A30&lt;=29),0,
VLOOKUP("P"&amp;REPT("0",2-LEN(商品年期))&amp;商品年期&amp;"S"&amp;"1"&amp;"A"&amp;REPT("0",2-LEN(A30))&amp;A30,INDIRECT(主約費率表),6,FALSE)*$B$3)))</f>
        <v>0</v>
      </c>
      <c r="C30" s="150">
        <f t="shared" si="0"/>
        <v>0</v>
      </c>
      <c r="D30" s="150">
        <f t="shared" si="1"/>
        <v>0</v>
      </c>
      <c r="E30" s="150">
        <f t="shared" si="2"/>
        <v>0</v>
      </c>
      <c r="F30" s="150">
        <f t="shared" si="3"/>
        <v>0</v>
      </c>
      <c r="G30" s="151">
        <f t="shared" si="4"/>
        <v>0</v>
      </c>
      <c r="H30" s="151" cm="1">
        <f t="array" ref="H30">IF(OR(A30="",$H$3=0),0,IF(ISERROR($H$3),0,ROUND(INDEX(MT_NP,1,職業等級)+(MAX(0,MT保額-3)*INDEX(MT_NP,2,職業等級)),0)))</f>
        <v>0</v>
      </c>
      <c r="I30" s="150">
        <f t="shared" si="5"/>
        <v>0</v>
      </c>
      <c r="J30" s="150">
        <f t="shared" si="6"/>
        <v>0</v>
      </c>
      <c r="K30" s="150">
        <f t="shared" si="7"/>
        <v>0</v>
      </c>
      <c r="L30" s="150"/>
      <c r="M30" s="150"/>
      <c r="N30" s="152"/>
      <c r="O30" s="146">
        <f ca="1">IF(OR(A30="",$O$3=0),0,
IF(AND(OR($O$2="ASGNLB1",$O$2="ASGNLB2"),$O$3&gt;30,$A30&gt;49),0,
IF(AND(照護有術顯示判斷=2,'試算表(16歲-65歲)'!A30&gt;=20,'試算表(16歲-65歲)'!A30&lt;=29),0,
VLOOKUP("P"&amp;REPT("0",2-LEN(商品年期))&amp;商品年期&amp;"S"&amp;"2"&amp;"A"&amp;REPT("0",2-LEN(A30))&amp;A30,INDIRECT(主約費率表),6,FALSE)*$O$3)))</f>
        <v>0</v>
      </c>
      <c r="P30" s="146">
        <f t="shared" si="8"/>
        <v>0</v>
      </c>
      <c r="Q30" s="146">
        <f t="shared" si="9"/>
        <v>0</v>
      </c>
      <c r="R30" s="146">
        <f t="shared" si="10"/>
        <v>0</v>
      </c>
      <c r="S30" s="146">
        <f t="shared" si="11"/>
        <v>0</v>
      </c>
      <c r="T30" s="146">
        <f t="shared" si="12"/>
        <v>0</v>
      </c>
      <c r="U30" s="146" cm="1">
        <f t="array" ref="U30">IF(OR(A30="",$U$3=0),0,IF(ISERROR($U$3),0,ROUND(INDEX(MT_NP,1,職業等級)+(MAX(0,MT保額-3)*INDEX(MT_NP,2,職業等級)),0)))</f>
        <v>0</v>
      </c>
      <c r="V30" s="146">
        <f t="shared" si="13"/>
        <v>0</v>
      </c>
      <c r="W30" s="146">
        <f t="shared" si="14"/>
        <v>0</v>
      </c>
      <c r="X30" s="146">
        <f t="shared" si="15"/>
        <v>0</v>
      </c>
      <c r="Y30" s="146"/>
      <c r="Z30" s="146"/>
      <c r="AA30" s="153"/>
    </row>
    <row r="31" spans="1:27">
      <c r="A31" s="149" t="str">
        <f t="shared" si="16"/>
        <v/>
      </c>
      <c r="B31" s="150">
        <f ca="1">IF(OR(A31="",$B$3=0),0,
IF(AND(OR($B$2="ASGNLB1",$B$2="ASGNLB2"),$B$3&gt;30,$A31&gt;49),0,
IF(AND(照護有術顯示判斷=2,'試算表(16歲-65歲)'!A31&gt;=20,'試算表(16歲-65歲)'!A31&lt;=29),0,
VLOOKUP("P"&amp;REPT("0",2-LEN(商品年期))&amp;商品年期&amp;"S"&amp;"1"&amp;"A"&amp;REPT("0",2-LEN(A31))&amp;A31,INDIRECT(主約費率表),6,FALSE)*$B$3)))</f>
        <v>0</v>
      </c>
      <c r="C31" s="150">
        <f t="shared" si="0"/>
        <v>0</v>
      </c>
      <c r="D31" s="150">
        <f t="shared" si="1"/>
        <v>0</v>
      </c>
      <c r="E31" s="150">
        <f t="shared" si="2"/>
        <v>0</v>
      </c>
      <c r="F31" s="150">
        <f t="shared" si="3"/>
        <v>0</v>
      </c>
      <c r="G31" s="151">
        <f t="shared" si="4"/>
        <v>0</v>
      </c>
      <c r="H31" s="151" cm="1">
        <f t="array" ref="H31">IF(OR(A31="",$H$3=0),0,IF(ISERROR($H$3),0,ROUND(INDEX(MT_NP,1,職業等級)+(MAX(0,MT保額-3)*INDEX(MT_NP,2,職業等級)),0)))</f>
        <v>0</v>
      </c>
      <c r="I31" s="150">
        <f t="shared" si="5"/>
        <v>0</v>
      </c>
      <c r="J31" s="150">
        <f t="shared" si="6"/>
        <v>0</v>
      </c>
      <c r="K31" s="150">
        <f t="shared" si="7"/>
        <v>0</v>
      </c>
      <c r="L31" s="150"/>
      <c r="M31" s="150"/>
      <c r="N31" s="152"/>
      <c r="O31" s="146">
        <f ca="1">IF(OR(A31="",$O$3=0),0,
IF(AND(OR($O$2="ASGNLB1",$O$2="ASGNLB2"),$O$3&gt;30,$A31&gt;49),0,
IF(AND(照護有術顯示判斷=2,'試算表(16歲-65歲)'!A31&gt;=20,'試算表(16歲-65歲)'!A31&lt;=29),0,
VLOOKUP("P"&amp;REPT("0",2-LEN(商品年期))&amp;商品年期&amp;"S"&amp;"2"&amp;"A"&amp;REPT("0",2-LEN(A31))&amp;A31,INDIRECT(主約費率表),6,FALSE)*$O$3)))</f>
        <v>0</v>
      </c>
      <c r="P31" s="146">
        <f t="shared" si="8"/>
        <v>0</v>
      </c>
      <c r="Q31" s="146">
        <f t="shared" si="9"/>
        <v>0</v>
      </c>
      <c r="R31" s="146">
        <f t="shared" si="10"/>
        <v>0</v>
      </c>
      <c r="S31" s="146">
        <f t="shared" si="11"/>
        <v>0</v>
      </c>
      <c r="T31" s="146">
        <f t="shared" si="12"/>
        <v>0</v>
      </c>
      <c r="U31" s="146" cm="1">
        <f t="array" ref="U31">IF(OR(A31="",$U$3=0),0,IF(ISERROR($U$3),0,ROUND(INDEX(MT_NP,1,職業等級)+(MAX(0,MT保額-3)*INDEX(MT_NP,2,職業等級)),0)))</f>
        <v>0</v>
      </c>
      <c r="V31" s="146">
        <f t="shared" si="13"/>
        <v>0</v>
      </c>
      <c r="W31" s="146">
        <f t="shared" si="14"/>
        <v>0</v>
      </c>
      <c r="X31" s="146">
        <f t="shared" si="15"/>
        <v>0</v>
      </c>
      <c r="Y31" s="146"/>
      <c r="Z31" s="146"/>
      <c r="AA31" s="153"/>
    </row>
    <row r="32" spans="1:27">
      <c r="A32" s="149" t="str">
        <f t="shared" si="16"/>
        <v/>
      </c>
      <c r="B32" s="150">
        <f ca="1">IF(OR(A32="",$B$3=0),0,
IF(AND(OR($B$2="ASGNLB1",$B$2="ASGNLB2"),$B$3&gt;30,$A32&gt;49),0,
IF(AND(照護有術顯示判斷=2,'試算表(16歲-65歲)'!A32&gt;=20,'試算表(16歲-65歲)'!A32&lt;=29),0,
VLOOKUP("P"&amp;REPT("0",2-LEN(商品年期))&amp;商品年期&amp;"S"&amp;"1"&amp;"A"&amp;REPT("0",2-LEN(A32))&amp;A32,INDIRECT(主約費率表),6,FALSE)*$B$3)))</f>
        <v>0</v>
      </c>
      <c r="C32" s="150">
        <f t="shared" si="0"/>
        <v>0</v>
      </c>
      <c r="D32" s="150">
        <f t="shared" si="1"/>
        <v>0</v>
      </c>
      <c r="E32" s="150">
        <f t="shared" si="2"/>
        <v>0</v>
      </c>
      <c r="F32" s="150">
        <f t="shared" si="3"/>
        <v>0</v>
      </c>
      <c r="G32" s="151">
        <f t="shared" si="4"/>
        <v>0</v>
      </c>
      <c r="H32" s="151" cm="1">
        <f t="array" ref="H32">IF(OR(A32="",$H$3=0),0,IF(ISERROR($H$3),0,ROUND(INDEX(MT_NP,1,職業等級)+(MAX(0,MT保額-3)*INDEX(MT_NP,2,職業等級)),0)))</f>
        <v>0</v>
      </c>
      <c r="I32" s="150">
        <f t="shared" si="5"/>
        <v>0</v>
      </c>
      <c r="J32" s="150">
        <f t="shared" si="6"/>
        <v>0</v>
      </c>
      <c r="K32" s="150">
        <f t="shared" si="7"/>
        <v>0</v>
      </c>
      <c r="L32" s="150"/>
      <c r="M32" s="150"/>
      <c r="N32" s="152"/>
      <c r="O32" s="146">
        <f ca="1">IF(OR(A32="",$O$3=0),0,
IF(AND(OR($O$2="ASGNLB1",$O$2="ASGNLB2"),$O$3&gt;30,$A32&gt;49),0,
IF(AND(照護有術顯示判斷=2,'試算表(16歲-65歲)'!A32&gt;=20,'試算表(16歲-65歲)'!A32&lt;=29),0,
VLOOKUP("P"&amp;REPT("0",2-LEN(商品年期))&amp;商品年期&amp;"S"&amp;"2"&amp;"A"&amp;REPT("0",2-LEN(A32))&amp;A32,INDIRECT(主約費率表),6,FALSE)*$O$3)))</f>
        <v>0</v>
      </c>
      <c r="P32" s="146">
        <f t="shared" si="8"/>
        <v>0</v>
      </c>
      <c r="Q32" s="146">
        <f t="shared" si="9"/>
        <v>0</v>
      </c>
      <c r="R32" s="146">
        <f t="shared" si="10"/>
        <v>0</v>
      </c>
      <c r="S32" s="146">
        <f t="shared" si="11"/>
        <v>0</v>
      </c>
      <c r="T32" s="146">
        <f t="shared" si="12"/>
        <v>0</v>
      </c>
      <c r="U32" s="146" cm="1">
        <f t="array" ref="U32">IF(OR(A32="",$U$3=0),0,IF(ISERROR($U$3),0,ROUND(INDEX(MT_NP,1,職業等級)+(MAX(0,MT保額-3)*INDEX(MT_NP,2,職業等級)),0)))</f>
        <v>0</v>
      </c>
      <c r="V32" s="146">
        <f t="shared" si="13"/>
        <v>0</v>
      </c>
      <c r="W32" s="146">
        <f t="shared" si="14"/>
        <v>0</v>
      </c>
      <c r="X32" s="146">
        <f t="shared" si="15"/>
        <v>0</v>
      </c>
      <c r="Y32" s="146"/>
      <c r="Z32" s="146"/>
      <c r="AA32" s="153"/>
    </row>
    <row r="33" spans="1:27">
      <c r="A33" s="149" t="str">
        <f t="shared" si="16"/>
        <v/>
      </c>
      <c r="B33" s="150">
        <f ca="1">IF(OR(A33="",$B$3=0),0,
IF(AND(OR($B$2="ASGNLB1",$B$2="ASGNLB2"),$B$3&gt;30,$A33&gt;49),0,
IF(AND(照護有術顯示判斷=2,'試算表(16歲-65歲)'!A33&gt;=20,'試算表(16歲-65歲)'!A33&lt;=29),0,
VLOOKUP("P"&amp;REPT("0",2-LEN(商品年期))&amp;商品年期&amp;"S"&amp;"1"&amp;"A"&amp;REPT("0",2-LEN(A33))&amp;A33,INDIRECT(主約費率表),6,FALSE)*$B$3)))</f>
        <v>0</v>
      </c>
      <c r="C33" s="150">
        <f t="shared" si="0"/>
        <v>0</v>
      </c>
      <c r="D33" s="150">
        <f t="shared" si="1"/>
        <v>0</v>
      </c>
      <c r="E33" s="150">
        <f t="shared" si="2"/>
        <v>0</v>
      </c>
      <c r="F33" s="150">
        <f t="shared" si="3"/>
        <v>0</v>
      </c>
      <c r="G33" s="151">
        <f t="shared" si="4"/>
        <v>0</v>
      </c>
      <c r="H33" s="151" cm="1">
        <f t="array" ref="H33">IF(OR(A33="",$H$3=0),0,IF(ISERROR($H$3),0,ROUND(INDEX(MT_NP,1,職業等級)+(MAX(0,MT保額-3)*INDEX(MT_NP,2,職業等級)),0)))</f>
        <v>0</v>
      </c>
      <c r="I33" s="150">
        <f t="shared" si="5"/>
        <v>0</v>
      </c>
      <c r="J33" s="150">
        <f t="shared" si="6"/>
        <v>0</v>
      </c>
      <c r="K33" s="150">
        <f t="shared" si="7"/>
        <v>0</v>
      </c>
      <c r="L33" s="150"/>
      <c r="M33" s="150"/>
      <c r="N33" s="152"/>
      <c r="O33" s="146">
        <f ca="1">IF(OR(A33="",$O$3=0),0,
IF(AND(OR($O$2="ASGNLB1",$O$2="ASGNLB2"),$O$3&gt;30,$A33&gt;49),0,
IF(AND(照護有術顯示判斷=2,'試算表(16歲-65歲)'!A33&gt;=20,'試算表(16歲-65歲)'!A33&lt;=29),0,
VLOOKUP("P"&amp;REPT("0",2-LEN(商品年期))&amp;商品年期&amp;"S"&amp;"2"&amp;"A"&amp;REPT("0",2-LEN(A33))&amp;A33,INDIRECT(主約費率表),6,FALSE)*$O$3)))</f>
        <v>0</v>
      </c>
      <c r="P33" s="146">
        <f t="shared" si="8"/>
        <v>0</v>
      </c>
      <c r="Q33" s="146">
        <f t="shared" si="9"/>
        <v>0</v>
      </c>
      <c r="R33" s="146">
        <f t="shared" si="10"/>
        <v>0</v>
      </c>
      <c r="S33" s="146">
        <f t="shared" si="11"/>
        <v>0</v>
      </c>
      <c r="T33" s="146">
        <f t="shared" si="12"/>
        <v>0</v>
      </c>
      <c r="U33" s="146" cm="1">
        <f t="array" ref="U33">IF(OR(A33="",$U$3=0),0,IF(ISERROR($U$3),0,ROUND(INDEX(MT_NP,1,職業等級)+(MAX(0,MT保額-3)*INDEX(MT_NP,2,職業等級)),0)))</f>
        <v>0</v>
      </c>
      <c r="V33" s="146">
        <f t="shared" si="13"/>
        <v>0</v>
      </c>
      <c r="W33" s="146">
        <f t="shared" si="14"/>
        <v>0</v>
      </c>
      <c r="X33" s="146">
        <f t="shared" si="15"/>
        <v>0</v>
      </c>
      <c r="Y33" s="146"/>
      <c r="Z33" s="146"/>
      <c r="AA33" s="153"/>
    </row>
    <row r="34" spans="1:27">
      <c r="A34" s="149" t="str">
        <f t="shared" si="16"/>
        <v/>
      </c>
      <c r="B34" s="150">
        <f ca="1">IF(OR(A34="",$B$3=0),0,
IF(AND(OR($B$2="ASGNLB1",$B$2="ASGNLB2"),$B$3&gt;30,$A34&gt;49),0,
IF(AND(照護有術顯示判斷=2,'試算表(16歲-65歲)'!A34&gt;=20,'試算表(16歲-65歲)'!A34&lt;=29),0,
VLOOKUP("P"&amp;REPT("0",2-LEN(商品年期))&amp;商品年期&amp;"S"&amp;"1"&amp;"A"&amp;REPT("0",2-LEN(A34))&amp;A34,INDIRECT(主約費率表),6,FALSE)*$B$3)))</f>
        <v>0</v>
      </c>
      <c r="C34" s="150">
        <f t="shared" si="0"/>
        <v>0</v>
      </c>
      <c r="D34" s="150">
        <f t="shared" si="1"/>
        <v>0</v>
      </c>
      <c r="E34" s="150">
        <f t="shared" si="2"/>
        <v>0</v>
      </c>
      <c r="F34" s="150">
        <f t="shared" si="3"/>
        <v>0</v>
      </c>
      <c r="G34" s="151">
        <f t="shared" si="4"/>
        <v>0</v>
      </c>
      <c r="H34" s="151" cm="1">
        <f t="array" ref="H34">IF(OR(A34="",$H$3=0),0,IF(ISERROR($H$3),0,ROUND(INDEX(MT_NP,1,職業等級)+(MAX(0,MT保額-3)*INDEX(MT_NP,2,職業等級)),0)))</f>
        <v>0</v>
      </c>
      <c r="I34" s="150">
        <f t="shared" si="5"/>
        <v>0</v>
      </c>
      <c r="J34" s="150">
        <f t="shared" si="6"/>
        <v>0</v>
      </c>
      <c r="K34" s="150">
        <f t="shared" si="7"/>
        <v>0</v>
      </c>
      <c r="L34" s="150"/>
      <c r="M34" s="150"/>
      <c r="N34" s="152"/>
      <c r="O34" s="146">
        <f ca="1">IF(OR(A34="",$O$3=0),0,
IF(AND(OR($O$2="ASGNLB1",$O$2="ASGNLB2"),$O$3&gt;30,$A34&gt;49),0,
IF(AND(照護有術顯示判斷=2,'試算表(16歲-65歲)'!A34&gt;=20,'試算表(16歲-65歲)'!A34&lt;=29),0,
VLOOKUP("P"&amp;REPT("0",2-LEN(商品年期))&amp;商品年期&amp;"S"&amp;"2"&amp;"A"&amp;REPT("0",2-LEN(A34))&amp;A34,INDIRECT(主約費率表),6,FALSE)*$O$3)))</f>
        <v>0</v>
      </c>
      <c r="P34" s="146">
        <f t="shared" si="8"/>
        <v>0</v>
      </c>
      <c r="Q34" s="146">
        <f t="shared" si="9"/>
        <v>0</v>
      </c>
      <c r="R34" s="146">
        <f t="shared" si="10"/>
        <v>0</v>
      </c>
      <c r="S34" s="146">
        <f t="shared" si="11"/>
        <v>0</v>
      </c>
      <c r="T34" s="146">
        <f t="shared" si="12"/>
        <v>0</v>
      </c>
      <c r="U34" s="146" cm="1">
        <f t="array" ref="U34">IF(OR(A34="",$U$3=0),0,IF(ISERROR($U$3),0,ROUND(INDEX(MT_NP,1,職業等級)+(MAX(0,MT保額-3)*INDEX(MT_NP,2,職業等級)),0)))</f>
        <v>0</v>
      </c>
      <c r="V34" s="146">
        <f t="shared" si="13"/>
        <v>0</v>
      </c>
      <c r="W34" s="146">
        <f t="shared" si="14"/>
        <v>0</v>
      </c>
      <c r="X34" s="146">
        <f t="shared" si="15"/>
        <v>0</v>
      </c>
      <c r="Y34" s="146"/>
      <c r="Z34" s="146"/>
      <c r="AA34" s="153"/>
    </row>
    <row r="35" spans="1:27">
      <c r="A35" s="149" t="str">
        <f t="shared" si="16"/>
        <v/>
      </c>
      <c r="B35" s="150">
        <f ca="1">IF(OR(A35="",$B$3=0),0,
IF(AND(OR($B$2="ASGNLB1",$B$2="ASGNLB2"),$B$3&gt;30,$A35&gt;49),0,
IF(AND(照護有術顯示判斷=2,'試算表(16歲-65歲)'!A35&gt;=20,'試算表(16歲-65歲)'!A35&lt;=29),0,
VLOOKUP("P"&amp;REPT("0",2-LEN(商品年期))&amp;商品年期&amp;"S"&amp;"1"&amp;"A"&amp;REPT("0",2-LEN(A35))&amp;A35,INDIRECT(主約費率表),6,FALSE)*$B$3)))</f>
        <v>0</v>
      </c>
      <c r="C35" s="150">
        <f t="shared" si="0"/>
        <v>0</v>
      </c>
      <c r="D35" s="150">
        <f t="shared" si="1"/>
        <v>0</v>
      </c>
      <c r="E35" s="150">
        <f t="shared" si="2"/>
        <v>0</v>
      </c>
      <c r="F35" s="150">
        <f t="shared" si="3"/>
        <v>0</v>
      </c>
      <c r="G35" s="151">
        <f t="shared" si="4"/>
        <v>0</v>
      </c>
      <c r="H35" s="151" cm="1">
        <f t="array" ref="H35">IF(OR(A35="",$H$3=0),0,IF(ISERROR($H$3),0,ROUND(INDEX(MT_NP,1,職業等級)+(MAX(0,MT保額-3)*INDEX(MT_NP,2,職業等級)),0)))</f>
        <v>0</v>
      </c>
      <c r="I35" s="150">
        <f t="shared" si="5"/>
        <v>0</v>
      </c>
      <c r="J35" s="150">
        <f t="shared" si="6"/>
        <v>0</v>
      </c>
      <c r="K35" s="150">
        <f t="shared" si="7"/>
        <v>0</v>
      </c>
      <c r="L35" s="150"/>
      <c r="M35" s="150"/>
      <c r="N35" s="152"/>
      <c r="O35" s="146">
        <f ca="1">IF(OR(A35="",$O$3=0),0,
IF(AND(OR($O$2="ASGNLB1",$O$2="ASGNLB2"),$O$3&gt;30,$A35&gt;49),0,
IF(AND(照護有術顯示判斷=2,'試算表(16歲-65歲)'!A35&gt;=20,'試算表(16歲-65歲)'!A35&lt;=29),0,
VLOOKUP("P"&amp;REPT("0",2-LEN(商品年期))&amp;商品年期&amp;"S"&amp;"2"&amp;"A"&amp;REPT("0",2-LEN(A35))&amp;A35,INDIRECT(主約費率表),6,FALSE)*$O$3)))</f>
        <v>0</v>
      </c>
      <c r="P35" s="146">
        <f t="shared" si="8"/>
        <v>0</v>
      </c>
      <c r="Q35" s="146">
        <f t="shared" si="9"/>
        <v>0</v>
      </c>
      <c r="R35" s="146">
        <f t="shared" si="10"/>
        <v>0</v>
      </c>
      <c r="S35" s="146">
        <f t="shared" si="11"/>
        <v>0</v>
      </c>
      <c r="T35" s="146">
        <f t="shared" si="12"/>
        <v>0</v>
      </c>
      <c r="U35" s="146" cm="1">
        <f t="array" ref="U35">IF(OR(A35="",$U$3=0),0,IF(ISERROR($U$3),0,ROUND(INDEX(MT_NP,1,職業等級)+(MAX(0,MT保額-3)*INDEX(MT_NP,2,職業等級)),0)))</f>
        <v>0</v>
      </c>
      <c r="V35" s="146">
        <f t="shared" si="13"/>
        <v>0</v>
      </c>
      <c r="W35" s="146">
        <f t="shared" si="14"/>
        <v>0</v>
      </c>
      <c r="X35" s="146">
        <f t="shared" si="15"/>
        <v>0</v>
      </c>
      <c r="Y35" s="146"/>
      <c r="Z35" s="146"/>
      <c r="AA35" s="153"/>
    </row>
    <row r="36" spans="1:27">
      <c r="A36" s="149" t="str">
        <f t="shared" si="16"/>
        <v/>
      </c>
      <c r="B36" s="150">
        <f ca="1">IF(OR(A36="",$B$3=0),0,
IF(AND(OR($B$2="ASGNLB1",$B$2="ASGNLB2"),$B$3&gt;30,$A36&gt;49),0,
IF(AND(照護有術顯示判斷=2,'試算表(16歲-65歲)'!A36&gt;=20,'試算表(16歲-65歲)'!A36&lt;=29),0,
VLOOKUP("P"&amp;REPT("0",2-LEN(商品年期))&amp;商品年期&amp;"S"&amp;"1"&amp;"A"&amp;REPT("0",2-LEN(A36))&amp;A36,INDIRECT(主約費率表),6,FALSE)*$B$3)))</f>
        <v>0</v>
      </c>
      <c r="C36" s="150">
        <f t="shared" si="0"/>
        <v>0</v>
      </c>
      <c r="D36" s="150">
        <f t="shared" si="1"/>
        <v>0</v>
      </c>
      <c r="E36" s="150">
        <f t="shared" si="2"/>
        <v>0</v>
      </c>
      <c r="F36" s="150">
        <f t="shared" si="3"/>
        <v>0</v>
      </c>
      <c r="G36" s="151">
        <f t="shared" si="4"/>
        <v>0</v>
      </c>
      <c r="H36" s="151" cm="1">
        <f t="array" ref="H36">IF(OR(A36="",$H$3=0),0,IF(ISERROR($H$3),0,ROUND(INDEX(MT_NP,1,職業等級)+(MAX(0,MT保額-3)*INDEX(MT_NP,2,職業等級)),0)))</f>
        <v>0</v>
      </c>
      <c r="I36" s="150">
        <f t="shared" si="5"/>
        <v>0</v>
      </c>
      <c r="J36" s="150">
        <f t="shared" si="6"/>
        <v>0</v>
      </c>
      <c r="K36" s="150">
        <f t="shared" ref="K36:K67" si="17">IF(OR(A36="",$K$3=0),0,IF(ISERROR($K$3),0,ROUND($K$3*VLOOKUP("P01"&amp;"S"&amp;"1"&amp;"A"&amp;REPT("0",2-LEN(A36))&amp;A36,ACCNTR3_NP,5,FALSE),0)))</f>
        <v>0</v>
      </c>
      <c r="L36" s="150"/>
      <c r="M36" s="150"/>
      <c r="N36" s="152"/>
      <c r="O36" s="146">
        <f ca="1">IF(OR(A36="",$O$3=0),0,
IF(AND(OR($O$2="ASGNLB1",$O$2="ASGNLB2"),$O$3&gt;30,$A36&gt;49),0,
IF(AND(照護有術顯示判斷=2,'試算表(16歲-65歲)'!A36&gt;=20,'試算表(16歲-65歲)'!A36&lt;=29),0,
VLOOKUP("P"&amp;REPT("0",2-LEN(商品年期))&amp;商品年期&amp;"S"&amp;"2"&amp;"A"&amp;REPT("0",2-LEN(A36))&amp;A36,INDIRECT(主約費率表),6,FALSE)*$O$3)))</f>
        <v>0</v>
      </c>
      <c r="P36" s="146">
        <f t="shared" si="8"/>
        <v>0</v>
      </c>
      <c r="Q36" s="146">
        <f t="shared" si="9"/>
        <v>0</v>
      </c>
      <c r="R36" s="146">
        <f t="shared" si="10"/>
        <v>0</v>
      </c>
      <c r="S36" s="146">
        <f t="shared" si="11"/>
        <v>0</v>
      </c>
      <c r="T36" s="146">
        <f t="shared" si="12"/>
        <v>0</v>
      </c>
      <c r="U36" s="146" cm="1">
        <f t="array" ref="U36">IF(OR(A36="",$U$3=0),0,IF(ISERROR($U$3),0,ROUND(INDEX(MT_NP,1,職業等級)+(MAX(0,MT保額-3)*INDEX(MT_NP,2,職業等級)),0)))</f>
        <v>0</v>
      </c>
      <c r="V36" s="146">
        <f t="shared" si="13"/>
        <v>0</v>
      </c>
      <c r="W36" s="146">
        <f t="shared" si="14"/>
        <v>0</v>
      </c>
      <c r="X36" s="146">
        <f t="shared" ref="X36:X67" si="18">IF(OR(A36="",$X$3=0),0,IF(ISERROR($X$3),0,ROUND($X$3*VLOOKUP("P01"&amp;"S"&amp;"2"&amp;"A"&amp;REPT("0",2-LEN(A36))&amp;A36,ACCNTR3_NP,5,FALSE),0)))</f>
        <v>0</v>
      </c>
      <c r="Y36" s="146"/>
      <c r="Z36" s="146"/>
      <c r="AA36" s="153"/>
    </row>
    <row r="37" spans="1:27">
      <c r="A37" s="149" t="str">
        <f t="shared" si="16"/>
        <v/>
      </c>
      <c r="B37" s="150">
        <f ca="1">IF(OR(A37="",$B$3=0),0,
IF(AND(OR($B$2="ASGNLB1",$B$2="ASGNLB2"),$B$3&gt;30,$A37&gt;49),0,
IF(AND(照護有術顯示判斷=2,'試算表(16歲-65歲)'!A37&gt;=20,'試算表(16歲-65歲)'!A37&lt;=29),0,
VLOOKUP("P"&amp;REPT("0",2-LEN(商品年期))&amp;商品年期&amp;"S"&amp;"1"&amp;"A"&amp;REPT("0",2-LEN(A37))&amp;A37,INDIRECT(主約費率表),6,FALSE)*$B$3)))</f>
        <v>0</v>
      </c>
      <c r="C37" s="150">
        <f t="shared" si="0"/>
        <v>0</v>
      </c>
      <c r="D37" s="150">
        <f t="shared" si="1"/>
        <v>0</v>
      </c>
      <c r="E37" s="150">
        <f t="shared" si="2"/>
        <v>0</v>
      </c>
      <c r="F37" s="150">
        <f t="shared" si="3"/>
        <v>0</v>
      </c>
      <c r="G37" s="151">
        <f t="shared" si="4"/>
        <v>0</v>
      </c>
      <c r="H37" s="151" cm="1">
        <f t="array" ref="H37">IF(OR(A37="",$H$3=0),0,IF(ISERROR($H$3),0,ROUND(INDEX(MT_NP,1,職業等級)+(MAX(0,MT保額-3)*INDEX(MT_NP,2,職業等級)),0)))</f>
        <v>0</v>
      </c>
      <c r="I37" s="150">
        <f t="shared" si="5"/>
        <v>0</v>
      </c>
      <c r="J37" s="150">
        <f t="shared" si="6"/>
        <v>0</v>
      </c>
      <c r="K37" s="150">
        <f t="shared" si="17"/>
        <v>0</v>
      </c>
      <c r="L37" s="150"/>
      <c r="M37" s="150"/>
      <c r="N37" s="152"/>
      <c r="O37" s="146">
        <f ca="1">IF(OR(A37="",$O$3=0),0,
IF(AND(OR($O$2="ASGNLB1",$O$2="ASGNLB2"),$O$3&gt;30,$A37&gt;49),0,
IF(AND(照護有術顯示判斷=2,'試算表(16歲-65歲)'!A37&gt;=20,'試算表(16歲-65歲)'!A37&lt;=29),0,
VLOOKUP("P"&amp;REPT("0",2-LEN(商品年期))&amp;商品年期&amp;"S"&amp;"2"&amp;"A"&amp;REPT("0",2-LEN(A37))&amp;A37,INDIRECT(主約費率表),6,FALSE)*$O$3)))</f>
        <v>0</v>
      </c>
      <c r="P37" s="146">
        <f t="shared" si="8"/>
        <v>0</v>
      </c>
      <c r="Q37" s="146">
        <f t="shared" si="9"/>
        <v>0</v>
      </c>
      <c r="R37" s="146">
        <f t="shared" si="10"/>
        <v>0</v>
      </c>
      <c r="S37" s="146">
        <f t="shared" si="11"/>
        <v>0</v>
      </c>
      <c r="T37" s="146">
        <f t="shared" si="12"/>
        <v>0</v>
      </c>
      <c r="U37" s="146" cm="1">
        <f t="array" ref="U37">IF(OR(A37="",$U$3=0),0,IF(ISERROR($U$3),0,ROUND(INDEX(MT_NP,1,職業等級)+(MAX(0,MT保額-3)*INDEX(MT_NP,2,職業等級)),0)))</f>
        <v>0</v>
      </c>
      <c r="V37" s="146">
        <f t="shared" si="13"/>
        <v>0</v>
      </c>
      <c r="W37" s="146">
        <f t="shared" si="14"/>
        <v>0</v>
      </c>
      <c r="X37" s="146">
        <f t="shared" si="18"/>
        <v>0</v>
      </c>
      <c r="Y37" s="146"/>
      <c r="Z37" s="146"/>
      <c r="AA37" s="153"/>
    </row>
    <row r="38" spans="1:27">
      <c r="A38" s="149" t="str">
        <f t="shared" si="16"/>
        <v/>
      </c>
      <c r="B38" s="150">
        <f ca="1">IF(OR(A38="",$B$3=0),0,
IF(AND(OR($B$2="ASGNLB1",$B$2="ASGNLB2"),$B$3&gt;30,$A38&gt;49),0,
IF(AND(照護有術顯示判斷=2,'試算表(16歲-65歲)'!A38&gt;=20,'試算表(16歲-65歲)'!A38&lt;=29),0,
VLOOKUP("P"&amp;REPT("0",2-LEN(商品年期))&amp;商品年期&amp;"S"&amp;"1"&amp;"A"&amp;REPT("0",2-LEN(A38))&amp;A38,INDIRECT(主約費率表),6,FALSE)*$B$3)))</f>
        <v>0</v>
      </c>
      <c r="C38" s="150">
        <f t="shared" si="0"/>
        <v>0</v>
      </c>
      <c r="D38" s="150">
        <f t="shared" si="1"/>
        <v>0</v>
      </c>
      <c r="E38" s="150">
        <f t="shared" si="2"/>
        <v>0</v>
      </c>
      <c r="F38" s="150">
        <f t="shared" si="3"/>
        <v>0</v>
      </c>
      <c r="G38" s="151">
        <f t="shared" si="4"/>
        <v>0</v>
      </c>
      <c r="H38" s="151" cm="1">
        <f t="array" ref="H38">IF(OR(A38="",$H$3=0),0,IF(ISERROR($H$3),0,ROUND(INDEX(MT_NP,1,職業等級)+(MAX(0,MT保額-3)*INDEX(MT_NP,2,職業等級)),0)))</f>
        <v>0</v>
      </c>
      <c r="I38" s="150">
        <f t="shared" si="5"/>
        <v>0</v>
      </c>
      <c r="J38" s="150">
        <f t="shared" si="6"/>
        <v>0</v>
      </c>
      <c r="K38" s="150">
        <f t="shared" si="17"/>
        <v>0</v>
      </c>
      <c r="L38" s="150"/>
      <c r="M38" s="150"/>
      <c r="N38" s="152"/>
      <c r="O38" s="146">
        <f ca="1">IF(OR(A38="",$O$3=0),0,
IF(AND(OR($O$2="ASGNLB1",$O$2="ASGNLB2"),$O$3&gt;30,$A38&gt;49),0,
IF(AND(照護有術顯示判斷=2,'試算表(16歲-65歲)'!A38&gt;=20,'試算表(16歲-65歲)'!A38&lt;=29),0,
VLOOKUP("P"&amp;REPT("0",2-LEN(商品年期))&amp;商品年期&amp;"S"&amp;"2"&amp;"A"&amp;REPT("0",2-LEN(A38))&amp;A38,INDIRECT(主約費率表),6,FALSE)*$O$3)))</f>
        <v>0</v>
      </c>
      <c r="P38" s="146">
        <f t="shared" si="8"/>
        <v>0</v>
      </c>
      <c r="Q38" s="146">
        <f t="shared" si="9"/>
        <v>0</v>
      </c>
      <c r="R38" s="146">
        <f t="shared" si="10"/>
        <v>0</v>
      </c>
      <c r="S38" s="146">
        <f t="shared" si="11"/>
        <v>0</v>
      </c>
      <c r="T38" s="146">
        <f t="shared" si="12"/>
        <v>0</v>
      </c>
      <c r="U38" s="146" cm="1">
        <f t="array" ref="U38">IF(OR(A38="",$U$3=0),0,IF(ISERROR($U$3),0,ROUND(INDEX(MT_NP,1,職業等級)+(MAX(0,MT保額-3)*INDEX(MT_NP,2,職業等級)),0)))</f>
        <v>0</v>
      </c>
      <c r="V38" s="146">
        <f t="shared" si="13"/>
        <v>0</v>
      </c>
      <c r="W38" s="146">
        <f t="shared" si="14"/>
        <v>0</v>
      </c>
      <c r="X38" s="146">
        <f t="shared" si="18"/>
        <v>0</v>
      </c>
      <c r="Y38" s="146"/>
      <c r="Z38" s="146"/>
      <c r="AA38" s="153"/>
    </row>
    <row r="39" spans="1:27">
      <c r="A39" s="149" t="str">
        <f t="shared" si="16"/>
        <v/>
      </c>
      <c r="B39" s="150">
        <f ca="1">IF(OR(A39="",$B$3=0),0,
IF(AND(OR($B$2="ASGNLB1",$B$2="ASGNLB2"),$B$3&gt;30,$A39&gt;49),0,
IF(AND(照護有術顯示判斷=2,'試算表(16歲-65歲)'!A39&gt;=20,'試算表(16歲-65歲)'!A39&lt;=29),0,
VLOOKUP("P"&amp;REPT("0",2-LEN(商品年期))&amp;商品年期&amp;"S"&amp;"1"&amp;"A"&amp;REPT("0",2-LEN(A39))&amp;A39,INDIRECT(主約費率表),6,FALSE)*$B$3)))</f>
        <v>0</v>
      </c>
      <c r="C39" s="150">
        <f t="shared" si="0"/>
        <v>0</v>
      </c>
      <c r="D39" s="150">
        <f t="shared" si="1"/>
        <v>0</v>
      </c>
      <c r="E39" s="150">
        <f t="shared" si="2"/>
        <v>0</v>
      </c>
      <c r="F39" s="150">
        <f t="shared" si="3"/>
        <v>0</v>
      </c>
      <c r="G39" s="151">
        <f t="shared" si="4"/>
        <v>0</v>
      </c>
      <c r="H39" s="151" cm="1">
        <f t="array" ref="H39">IF(OR(A39="",$H$3=0),0,IF(ISERROR($H$3),0,ROUND(INDEX(MT_NP,1,職業等級)+(MAX(0,MT保額-3)*INDEX(MT_NP,2,職業等級)),0)))</f>
        <v>0</v>
      </c>
      <c r="I39" s="150">
        <f t="shared" si="5"/>
        <v>0</v>
      </c>
      <c r="J39" s="150">
        <f t="shared" si="6"/>
        <v>0</v>
      </c>
      <c r="K39" s="150">
        <f t="shared" si="17"/>
        <v>0</v>
      </c>
      <c r="L39" s="150"/>
      <c r="M39" s="150"/>
      <c r="N39" s="152"/>
      <c r="O39" s="146">
        <f ca="1">IF(OR(A39="",$O$3=0),0,
IF(AND(OR($O$2="ASGNLB1",$O$2="ASGNLB2"),$O$3&gt;30,$A39&gt;49),0,
IF(AND(照護有術顯示判斷=2,'試算表(16歲-65歲)'!A39&gt;=20,'試算表(16歲-65歲)'!A39&lt;=29),0,
VLOOKUP("P"&amp;REPT("0",2-LEN(商品年期))&amp;商品年期&amp;"S"&amp;"2"&amp;"A"&amp;REPT("0",2-LEN(A39))&amp;A39,INDIRECT(主約費率表),6,FALSE)*$O$3)))</f>
        <v>0</v>
      </c>
      <c r="P39" s="146">
        <f t="shared" si="8"/>
        <v>0</v>
      </c>
      <c r="Q39" s="146">
        <f t="shared" si="9"/>
        <v>0</v>
      </c>
      <c r="R39" s="146">
        <f t="shared" si="10"/>
        <v>0</v>
      </c>
      <c r="S39" s="146">
        <f t="shared" si="11"/>
        <v>0</v>
      </c>
      <c r="T39" s="146">
        <f t="shared" si="12"/>
        <v>0</v>
      </c>
      <c r="U39" s="146" cm="1">
        <f t="array" ref="U39">IF(OR(A39="",$U$3=0),0,IF(ISERROR($U$3),0,ROUND(INDEX(MT_NP,1,職業等級)+(MAX(0,MT保額-3)*INDEX(MT_NP,2,職業等級)),0)))</f>
        <v>0</v>
      </c>
      <c r="V39" s="146">
        <f t="shared" si="13"/>
        <v>0</v>
      </c>
      <c r="W39" s="146">
        <f t="shared" si="14"/>
        <v>0</v>
      </c>
      <c r="X39" s="146">
        <f t="shared" si="18"/>
        <v>0</v>
      </c>
      <c r="Y39" s="146"/>
      <c r="Z39" s="146"/>
      <c r="AA39" s="153"/>
    </row>
    <row r="40" spans="1:27">
      <c r="A40" s="149" t="str">
        <f t="shared" si="16"/>
        <v/>
      </c>
      <c r="B40" s="150">
        <f ca="1">IF(OR(A40="",$B$3=0),0,
IF(AND(OR($B$2="ASGNLB1",$B$2="ASGNLB2"),$B$3&gt;30,$A40&gt;49),0,
IF(AND(照護有術顯示判斷=2,'試算表(16歲-65歲)'!A40&gt;=20,'試算表(16歲-65歲)'!A40&lt;=29),0,
VLOOKUP("P"&amp;REPT("0",2-LEN(商品年期))&amp;商品年期&amp;"S"&amp;"1"&amp;"A"&amp;REPT("0",2-LEN(A40))&amp;A40,INDIRECT(主約費率表),6,FALSE)*$B$3)))</f>
        <v>0</v>
      </c>
      <c r="C40" s="150">
        <f t="shared" si="0"/>
        <v>0</v>
      </c>
      <c r="D40" s="150">
        <f t="shared" si="1"/>
        <v>0</v>
      </c>
      <c r="E40" s="150">
        <f t="shared" si="2"/>
        <v>0</v>
      </c>
      <c r="F40" s="150">
        <f t="shared" si="3"/>
        <v>0</v>
      </c>
      <c r="G40" s="151">
        <f t="shared" si="4"/>
        <v>0</v>
      </c>
      <c r="H40" s="151" cm="1">
        <f t="array" ref="H40">IF(OR(A40="",$H$3=0),0,IF(ISERROR($H$3),0,ROUND(INDEX(MT_NP,1,職業等級)+(MAX(0,MT保額-3)*INDEX(MT_NP,2,職業等級)),0)))</f>
        <v>0</v>
      </c>
      <c r="I40" s="150">
        <f t="shared" si="5"/>
        <v>0</v>
      </c>
      <c r="J40" s="150">
        <f t="shared" si="6"/>
        <v>0</v>
      </c>
      <c r="K40" s="150">
        <f t="shared" si="17"/>
        <v>0</v>
      </c>
      <c r="L40" s="150"/>
      <c r="M40" s="150"/>
      <c r="N40" s="152"/>
      <c r="O40" s="146">
        <f ca="1">IF(OR(A40="",$O$3=0),0,
IF(AND(OR($O$2="ASGNLB1",$O$2="ASGNLB2"),$O$3&gt;30,$A40&gt;49),0,
IF(AND(照護有術顯示判斷=2,'試算表(16歲-65歲)'!A40&gt;=20,'試算表(16歲-65歲)'!A40&lt;=29),0,
VLOOKUP("P"&amp;REPT("0",2-LEN(商品年期))&amp;商品年期&amp;"S"&amp;"2"&amp;"A"&amp;REPT("0",2-LEN(A40))&amp;A40,INDIRECT(主約費率表),6,FALSE)*$O$3)))</f>
        <v>0</v>
      </c>
      <c r="P40" s="146">
        <f t="shared" si="8"/>
        <v>0</v>
      </c>
      <c r="Q40" s="146">
        <f t="shared" si="9"/>
        <v>0</v>
      </c>
      <c r="R40" s="146">
        <f t="shared" si="10"/>
        <v>0</v>
      </c>
      <c r="S40" s="146">
        <f t="shared" si="11"/>
        <v>0</v>
      </c>
      <c r="T40" s="146">
        <f t="shared" si="12"/>
        <v>0</v>
      </c>
      <c r="U40" s="146" cm="1">
        <f t="array" ref="U40">IF(OR(A40="",$U$3=0),0,IF(ISERROR($U$3),0,ROUND(INDEX(MT_NP,1,職業等級)+(MAX(0,MT保額-3)*INDEX(MT_NP,2,職業等級)),0)))</f>
        <v>0</v>
      </c>
      <c r="V40" s="146">
        <f t="shared" si="13"/>
        <v>0</v>
      </c>
      <c r="W40" s="146">
        <f t="shared" si="14"/>
        <v>0</v>
      </c>
      <c r="X40" s="146">
        <f t="shared" si="18"/>
        <v>0</v>
      </c>
      <c r="Y40" s="146"/>
      <c r="Z40" s="146"/>
      <c r="AA40" s="153"/>
    </row>
    <row r="41" spans="1:27">
      <c r="A41" s="149" t="str">
        <f t="shared" si="16"/>
        <v/>
      </c>
      <c r="B41" s="150">
        <f ca="1">IF(OR(A41="",$B$3=0),0,
IF(AND(OR($B$2="ASGNLB1",$B$2="ASGNLB2"),$B$3&gt;30,$A41&gt;49),0,
IF(AND(照護有術顯示判斷=2,'試算表(16歲-65歲)'!A41&gt;=20,'試算表(16歲-65歲)'!A41&lt;=29),0,
VLOOKUP("P"&amp;REPT("0",2-LEN(商品年期))&amp;商品年期&amp;"S"&amp;"1"&amp;"A"&amp;REPT("0",2-LEN(A41))&amp;A41,INDIRECT(主約費率表),6,FALSE)*$B$3)))</f>
        <v>0</v>
      </c>
      <c r="C41" s="150">
        <f t="shared" si="0"/>
        <v>0</v>
      </c>
      <c r="D41" s="150">
        <f t="shared" si="1"/>
        <v>0</v>
      </c>
      <c r="E41" s="150">
        <f t="shared" si="2"/>
        <v>0</v>
      </c>
      <c r="F41" s="150">
        <f t="shared" si="3"/>
        <v>0</v>
      </c>
      <c r="G41" s="151">
        <f t="shared" si="4"/>
        <v>0</v>
      </c>
      <c r="H41" s="151" cm="1">
        <f t="array" ref="H41">IF(OR(A41="",$H$3=0),0,IF(ISERROR($H$3),0,ROUND(INDEX(MT_NP,1,職業等級)+(MAX(0,MT保額-3)*INDEX(MT_NP,2,職業等級)),0)))</f>
        <v>0</v>
      </c>
      <c r="I41" s="150">
        <f t="shared" si="5"/>
        <v>0</v>
      </c>
      <c r="J41" s="150">
        <f t="shared" si="6"/>
        <v>0</v>
      </c>
      <c r="K41" s="150">
        <f t="shared" si="17"/>
        <v>0</v>
      </c>
      <c r="L41" s="150"/>
      <c r="M41" s="150"/>
      <c r="N41" s="152"/>
      <c r="O41" s="146">
        <f ca="1">IF(OR(A41="",$O$3=0),0,
IF(AND(OR($O$2="ASGNLB1",$O$2="ASGNLB2"),$O$3&gt;30,$A41&gt;49),0,
IF(AND(照護有術顯示判斷=2,'試算表(16歲-65歲)'!A41&gt;=20,'試算表(16歲-65歲)'!A41&lt;=29),0,
VLOOKUP("P"&amp;REPT("0",2-LEN(商品年期))&amp;商品年期&amp;"S"&amp;"2"&amp;"A"&amp;REPT("0",2-LEN(A41))&amp;A41,INDIRECT(主約費率表),6,FALSE)*$O$3)))</f>
        <v>0</v>
      </c>
      <c r="P41" s="146">
        <f t="shared" si="8"/>
        <v>0</v>
      </c>
      <c r="Q41" s="146">
        <f t="shared" si="9"/>
        <v>0</v>
      </c>
      <c r="R41" s="146">
        <f t="shared" si="10"/>
        <v>0</v>
      </c>
      <c r="S41" s="146">
        <f t="shared" si="11"/>
        <v>0</v>
      </c>
      <c r="T41" s="146">
        <f t="shared" si="12"/>
        <v>0</v>
      </c>
      <c r="U41" s="146" cm="1">
        <f t="array" ref="U41">IF(OR(A41="",$U$3=0),0,IF(ISERROR($U$3),0,ROUND(INDEX(MT_NP,1,職業等級)+(MAX(0,MT保額-3)*INDEX(MT_NP,2,職業等級)),0)))</f>
        <v>0</v>
      </c>
      <c r="V41" s="146">
        <f t="shared" si="13"/>
        <v>0</v>
      </c>
      <c r="W41" s="146">
        <f t="shared" si="14"/>
        <v>0</v>
      </c>
      <c r="X41" s="146">
        <f t="shared" si="18"/>
        <v>0</v>
      </c>
      <c r="Y41" s="146"/>
      <c r="Z41" s="146"/>
      <c r="AA41" s="153"/>
    </row>
    <row r="42" spans="1:27">
      <c r="A42" s="149" t="str">
        <f t="shared" si="16"/>
        <v/>
      </c>
      <c r="B42" s="150">
        <f ca="1">IF(OR(A42="",$B$3=0),0,
IF(AND(OR($B$2="ASGNLB1",$B$2="ASGNLB2"),$B$3&gt;30,$A42&gt;49),0,
IF(AND(照護有術顯示判斷=2,'試算表(16歲-65歲)'!A42&gt;=20,'試算表(16歲-65歲)'!A42&lt;=29),0,
VLOOKUP("P"&amp;REPT("0",2-LEN(商品年期))&amp;商品年期&amp;"S"&amp;"1"&amp;"A"&amp;REPT("0",2-LEN(A42))&amp;A42,INDIRECT(主約費率表),6,FALSE)*$B$3)))</f>
        <v>0</v>
      </c>
      <c r="C42" s="150">
        <f t="shared" si="0"/>
        <v>0</v>
      </c>
      <c r="D42" s="150">
        <f t="shared" si="1"/>
        <v>0</v>
      </c>
      <c r="E42" s="150">
        <f t="shared" si="2"/>
        <v>0</v>
      </c>
      <c r="F42" s="150">
        <f t="shared" si="3"/>
        <v>0</v>
      </c>
      <c r="G42" s="151">
        <f t="shared" si="4"/>
        <v>0</v>
      </c>
      <c r="H42" s="151" cm="1">
        <f t="array" ref="H42">IF(OR(A42="",$H$3=0),0,IF(ISERROR($H$3),0,ROUND(INDEX(MT_NP,1,職業等級)+(MAX(0,MT保額-3)*INDEX(MT_NP,2,職業等級)),0)))</f>
        <v>0</v>
      </c>
      <c r="I42" s="150">
        <f t="shared" si="5"/>
        <v>0</v>
      </c>
      <c r="J42" s="150">
        <f t="shared" si="6"/>
        <v>0</v>
      </c>
      <c r="K42" s="150">
        <f t="shared" si="17"/>
        <v>0</v>
      </c>
      <c r="L42" s="150"/>
      <c r="M42" s="150"/>
      <c r="N42" s="152"/>
      <c r="O42" s="146">
        <f ca="1">IF(OR(A42="",$O$3=0),0,
IF(AND(OR($O$2="ASGNLB1",$O$2="ASGNLB2"),$O$3&gt;30,$A42&gt;49),0,
IF(AND(照護有術顯示判斷=2,'試算表(16歲-65歲)'!A42&gt;=20,'試算表(16歲-65歲)'!A42&lt;=29),0,
VLOOKUP("P"&amp;REPT("0",2-LEN(商品年期))&amp;商品年期&amp;"S"&amp;"2"&amp;"A"&amp;REPT("0",2-LEN(A42))&amp;A42,INDIRECT(主約費率表),6,FALSE)*$O$3)))</f>
        <v>0</v>
      </c>
      <c r="P42" s="146">
        <f t="shared" si="8"/>
        <v>0</v>
      </c>
      <c r="Q42" s="146">
        <f t="shared" si="9"/>
        <v>0</v>
      </c>
      <c r="R42" s="146">
        <f t="shared" si="10"/>
        <v>0</v>
      </c>
      <c r="S42" s="146">
        <f t="shared" si="11"/>
        <v>0</v>
      </c>
      <c r="T42" s="146">
        <f t="shared" si="12"/>
        <v>0</v>
      </c>
      <c r="U42" s="146" cm="1">
        <f t="array" ref="U42">IF(OR(A42="",$U$3=0),0,IF(ISERROR($U$3),0,ROUND(INDEX(MT_NP,1,職業等級)+(MAX(0,MT保額-3)*INDEX(MT_NP,2,職業等級)),0)))</f>
        <v>0</v>
      </c>
      <c r="V42" s="146">
        <f t="shared" si="13"/>
        <v>0</v>
      </c>
      <c r="W42" s="146">
        <f t="shared" si="14"/>
        <v>0</v>
      </c>
      <c r="X42" s="146">
        <f t="shared" si="18"/>
        <v>0</v>
      </c>
      <c r="Y42" s="146"/>
      <c r="Z42" s="146"/>
      <c r="AA42" s="153"/>
    </row>
    <row r="43" spans="1:27">
      <c r="A43" s="149" t="str">
        <f t="shared" si="16"/>
        <v/>
      </c>
      <c r="B43" s="150">
        <f ca="1">IF(OR(A43="",$B$3=0),0,
IF(AND(OR($B$2="ASGNLB1",$B$2="ASGNLB2"),$B$3&gt;30,$A43&gt;49),0,
IF(AND(照護有術顯示判斷=2,'試算表(16歲-65歲)'!A43&gt;=20,'試算表(16歲-65歲)'!A43&lt;=29),0,
VLOOKUP("P"&amp;REPT("0",2-LEN(商品年期))&amp;商品年期&amp;"S"&amp;"1"&amp;"A"&amp;REPT("0",2-LEN(A43))&amp;A43,INDIRECT(主約費率表),6,FALSE)*$B$3)))</f>
        <v>0</v>
      </c>
      <c r="C43" s="150">
        <f t="shared" si="0"/>
        <v>0</v>
      </c>
      <c r="D43" s="150">
        <f t="shared" si="1"/>
        <v>0</v>
      </c>
      <c r="E43" s="150">
        <f t="shared" si="2"/>
        <v>0</v>
      </c>
      <c r="F43" s="150">
        <f t="shared" si="3"/>
        <v>0</v>
      </c>
      <c r="G43" s="151">
        <f t="shared" si="4"/>
        <v>0</v>
      </c>
      <c r="H43" s="151" cm="1">
        <f t="array" ref="H43">IF(OR(A43="",$H$3=0),0,IF(ISERROR($H$3),0,ROUND(INDEX(MT_NP,1,職業等級)+(MAX(0,MT保額-3)*INDEX(MT_NP,2,職業等級)),0)))</f>
        <v>0</v>
      </c>
      <c r="I43" s="150">
        <f t="shared" si="5"/>
        <v>0</v>
      </c>
      <c r="J43" s="150">
        <f t="shared" si="6"/>
        <v>0</v>
      </c>
      <c r="K43" s="150">
        <f t="shared" si="17"/>
        <v>0</v>
      </c>
      <c r="L43" s="150"/>
      <c r="M43" s="150"/>
      <c r="N43" s="152"/>
      <c r="O43" s="146">
        <f ca="1">IF(OR(A43="",$O$3=0),0,
IF(AND(OR($O$2="ASGNLB1",$O$2="ASGNLB2"),$O$3&gt;30,$A43&gt;49),0,
IF(AND(照護有術顯示判斷=2,'試算表(16歲-65歲)'!A43&gt;=20,'試算表(16歲-65歲)'!A43&lt;=29),0,
VLOOKUP("P"&amp;REPT("0",2-LEN(商品年期))&amp;商品年期&amp;"S"&amp;"2"&amp;"A"&amp;REPT("0",2-LEN(A43))&amp;A43,INDIRECT(主約費率表),6,FALSE)*$O$3)))</f>
        <v>0</v>
      </c>
      <c r="P43" s="146">
        <f t="shared" si="8"/>
        <v>0</v>
      </c>
      <c r="Q43" s="146">
        <f t="shared" si="9"/>
        <v>0</v>
      </c>
      <c r="R43" s="146">
        <f t="shared" si="10"/>
        <v>0</v>
      </c>
      <c r="S43" s="146">
        <f t="shared" si="11"/>
        <v>0</v>
      </c>
      <c r="T43" s="146">
        <f t="shared" si="12"/>
        <v>0</v>
      </c>
      <c r="U43" s="146" cm="1">
        <f t="array" ref="U43">IF(OR(A43="",$U$3=0),0,IF(ISERROR($U$3),0,ROUND(INDEX(MT_NP,1,職業等級)+(MAX(0,MT保額-3)*INDEX(MT_NP,2,職業等級)),0)))</f>
        <v>0</v>
      </c>
      <c r="V43" s="146">
        <f t="shared" si="13"/>
        <v>0</v>
      </c>
      <c r="W43" s="146">
        <f t="shared" si="14"/>
        <v>0</v>
      </c>
      <c r="X43" s="146">
        <f t="shared" si="18"/>
        <v>0</v>
      </c>
      <c r="Y43" s="146"/>
      <c r="Z43" s="146"/>
      <c r="AA43" s="153"/>
    </row>
    <row r="44" spans="1:27">
      <c r="A44" s="149" t="str">
        <f t="shared" si="16"/>
        <v/>
      </c>
      <c r="B44" s="150">
        <f ca="1">IF(OR(A44="",$B$3=0),0,
IF(AND(OR($B$2="ASGNLB1",$B$2="ASGNLB2"),$B$3&gt;30,$A44&gt;49),0,
IF(AND(照護有術顯示判斷=2,'試算表(16歲-65歲)'!A44&gt;=20,'試算表(16歲-65歲)'!A44&lt;=29),0,
VLOOKUP("P"&amp;REPT("0",2-LEN(商品年期))&amp;商品年期&amp;"S"&amp;"1"&amp;"A"&amp;REPT("0",2-LEN(A44))&amp;A44,INDIRECT(主約費率表),6,FALSE)*$B$3)))</f>
        <v>0</v>
      </c>
      <c r="C44" s="150">
        <f t="shared" si="0"/>
        <v>0</v>
      </c>
      <c r="D44" s="150">
        <f t="shared" si="1"/>
        <v>0</v>
      </c>
      <c r="E44" s="150">
        <f t="shared" si="2"/>
        <v>0</v>
      </c>
      <c r="F44" s="150">
        <f t="shared" si="3"/>
        <v>0</v>
      </c>
      <c r="G44" s="151">
        <f t="shared" si="4"/>
        <v>0</v>
      </c>
      <c r="H44" s="151" cm="1">
        <f t="array" ref="H44">IF(OR(A44="",$H$3=0),0,IF(ISERROR($H$3),0,ROUND(INDEX(MT_NP,1,職業等級)+(MAX(0,MT保額-3)*INDEX(MT_NP,2,職業等級)),0)))</f>
        <v>0</v>
      </c>
      <c r="I44" s="150">
        <f t="shared" si="5"/>
        <v>0</v>
      </c>
      <c r="J44" s="150">
        <f t="shared" si="6"/>
        <v>0</v>
      </c>
      <c r="K44" s="150">
        <f t="shared" si="17"/>
        <v>0</v>
      </c>
      <c r="L44" s="150"/>
      <c r="M44" s="150"/>
      <c r="N44" s="152"/>
      <c r="O44" s="146">
        <f ca="1">IF(OR(A44="",$O$3=0),0,
IF(AND(OR($O$2="ASGNLB1",$O$2="ASGNLB2"),$O$3&gt;30,$A44&gt;49),0,
IF(AND(照護有術顯示判斷=2,'試算表(16歲-65歲)'!A44&gt;=20,'試算表(16歲-65歲)'!A44&lt;=29),0,
VLOOKUP("P"&amp;REPT("0",2-LEN(商品年期))&amp;商品年期&amp;"S"&amp;"2"&amp;"A"&amp;REPT("0",2-LEN(A44))&amp;A44,INDIRECT(主約費率表),6,FALSE)*$O$3)))</f>
        <v>0</v>
      </c>
      <c r="P44" s="146">
        <f t="shared" si="8"/>
        <v>0</v>
      </c>
      <c r="Q44" s="146">
        <f t="shared" si="9"/>
        <v>0</v>
      </c>
      <c r="R44" s="146">
        <f t="shared" si="10"/>
        <v>0</v>
      </c>
      <c r="S44" s="146">
        <f t="shared" si="11"/>
        <v>0</v>
      </c>
      <c r="T44" s="146">
        <f t="shared" si="12"/>
        <v>0</v>
      </c>
      <c r="U44" s="146" cm="1">
        <f t="array" ref="U44">IF(OR(A44="",$U$3=0),0,IF(ISERROR($U$3),0,ROUND(INDEX(MT_NP,1,職業等級)+(MAX(0,MT保額-3)*INDEX(MT_NP,2,職業等級)),0)))</f>
        <v>0</v>
      </c>
      <c r="V44" s="146">
        <f t="shared" si="13"/>
        <v>0</v>
      </c>
      <c r="W44" s="146">
        <f t="shared" si="14"/>
        <v>0</v>
      </c>
      <c r="X44" s="146">
        <f t="shared" si="18"/>
        <v>0</v>
      </c>
      <c r="Y44" s="146"/>
      <c r="Z44" s="146"/>
      <c r="AA44" s="153"/>
    </row>
    <row r="45" spans="1:27">
      <c r="A45" s="149" t="str">
        <f t="shared" si="16"/>
        <v/>
      </c>
      <c r="B45" s="150">
        <f ca="1">IF(OR(A45="",$B$3=0),0,
IF(AND(OR($B$2="ASGNLB1",$B$2="ASGNLB2"),$B$3&gt;30,$A45&gt;49),0,
IF(AND(照護有術顯示判斷=2,'試算表(16歲-65歲)'!A45&gt;=20,'試算表(16歲-65歲)'!A45&lt;=29),0,
VLOOKUP("P"&amp;REPT("0",2-LEN(商品年期))&amp;商品年期&amp;"S"&amp;"1"&amp;"A"&amp;REPT("0",2-LEN(A45))&amp;A45,INDIRECT(主約費率表),6,FALSE)*$B$3)))</f>
        <v>0</v>
      </c>
      <c r="C45" s="150">
        <f t="shared" si="0"/>
        <v>0</v>
      </c>
      <c r="D45" s="150">
        <f t="shared" si="1"/>
        <v>0</v>
      </c>
      <c r="E45" s="150">
        <f t="shared" si="2"/>
        <v>0</v>
      </c>
      <c r="F45" s="150">
        <f t="shared" si="3"/>
        <v>0</v>
      </c>
      <c r="G45" s="151">
        <f t="shared" si="4"/>
        <v>0</v>
      </c>
      <c r="H45" s="151" cm="1">
        <f t="array" ref="H45">IF(OR(A45="",$H$3=0),0,IF(ISERROR($H$3),0,ROUND(INDEX(MT_NP,1,職業等級)+(MAX(0,MT保額-3)*INDEX(MT_NP,2,職業等級)),0)))</f>
        <v>0</v>
      </c>
      <c r="I45" s="150">
        <f t="shared" si="5"/>
        <v>0</v>
      </c>
      <c r="J45" s="150">
        <f t="shared" si="6"/>
        <v>0</v>
      </c>
      <c r="K45" s="150">
        <f t="shared" si="17"/>
        <v>0</v>
      </c>
      <c r="L45" s="150"/>
      <c r="M45" s="150"/>
      <c r="N45" s="152"/>
      <c r="O45" s="146">
        <f ca="1">IF(OR(A45="",$O$3=0),0,
IF(AND(OR($O$2="ASGNLB1",$O$2="ASGNLB2"),$O$3&gt;30,$A45&gt;49),0,
IF(AND(照護有術顯示判斷=2,'試算表(16歲-65歲)'!A45&gt;=20,'試算表(16歲-65歲)'!A45&lt;=29),0,
VLOOKUP("P"&amp;REPT("0",2-LEN(商品年期))&amp;商品年期&amp;"S"&amp;"2"&amp;"A"&amp;REPT("0",2-LEN(A45))&amp;A45,INDIRECT(主約費率表),6,FALSE)*$O$3)))</f>
        <v>0</v>
      </c>
      <c r="P45" s="146">
        <f t="shared" si="8"/>
        <v>0</v>
      </c>
      <c r="Q45" s="146">
        <f t="shared" si="9"/>
        <v>0</v>
      </c>
      <c r="R45" s="146">
        <f t="shared" si="10"/>
        <v>0</v>
      </c>
      <c r="S45" s="146">
        <f t="shared" si="11"/>
        <v>0</v>
      </c>
      <c r="T45" s="146">
        <f t="shared" si="12"/>
        <v>0</v>
      </c>
      <c r="U45" s="146" cm="1">
        <f t="array" ref="U45">IF(OR(A45="",$U$3=0),0,IF(ISERROR($U$3),0,ROUND(INDEX(MT_NP,1,職業等級)+(MAX(0,MT保額-3)*INDEX(MT_NP,2,職業等級)),0)))</f>
        <v>0</v>
      </c>
      <c r="V45" s="146">
        <f t="shared" si="13"/>
        <v>0</v>
      </c>
      <c r="W45" s="146">
        <f t="shared" si="14"/>
        <v>0</v>
      </c>
      <c r="X45" s="146">
        <f t="shared" si="18"/>
        <v>0</v>
      </c>
      <c r="Y45" s="146"/>
      <c r="Z45" s="146"/>
      <c r="AA45" s="153"/>
    </row>
    <row r="46" spans="1:27">
      <c r="A46" s="149" t="str">
        <f t="shared" si="16"/>
        <v/>
      </c>
      <c r="B46" s="150">
        <f ca="1">IF(OR(A46="",$B$3=0),0,
IF(AND(OR($B$2="ASGNLB1",$B$2="ASGNLB2"),$B$3&gt;30,$A46&gt;49),0,
IF(AND(照護有術顯示判斷=2,'試算表(16歲-65歲)'!A46&gt;=20,'試算表(16歲-65歲)'!A46&lt;=29),0,
VLOOKUP("P"&amp;REPT("0",2-LEN(商品年期))&amp;商品年期&amp;"S"&amp;"1"&amp;"A"&amp;REPT("0",2-LEN(A46))&amp;A46,INDIRECT(主約費率表),6,FALSE)*$B$3)))</f>
        <v>0</v>
      </c>
      <c r="C46" s="150">
        <f t="shared" si="0"/>
        <v>0</v>
      </c>
      <c r="D46" s="150">
        <f t="shared" si="1"/>
        <v>0</v>
      </c>
      <c r="E46" s="150">
        <f t="shared" si="2"/>
        <v>0</v>
      </c>
      <c r="F46" s="150">
        <f t="shared" si="3"/>
        <v>0</v>
      </c>
      <c r="G46" s="151">
        <f t="shared" si="4"/>
        <v>0</v>
      </c>
      <c r="H46" s="151" cm="1">
        <f t="array" ref="H46">IF(OR(A46="",$H$3=0),0,IF(ISERROR($H$3),0,ROUND(INDEX(MT_NP,1,職業等級)+(MAX(0,MT保額-3)*INDEX(MT_NP,2,職業等級)),0)))</f>
        <v>0</v>
      </c>
      <c r="I46" s="150">
        <f t="shared" si="5"/>
        <v>0</v>
      </c>
      <c r="J46" s="150">
        <f t="shared" si="6"/>
        <v>0</v>
      </c>
      <c r="K46" s="150">
        <f t="shared" si="17"/>
        <v>0</v>
      </c>
      <c r="L46" s="150"/>
      <c r="M46" s="150"/>
      <c r="N46" s="152"/>
      <c r="O46" s="146">
        <f ca="1">IF(OR(A46="",$O$3=0),0,
IF(AND(OR($O$2="ASGNLB1",$O$2="ASGNLB2"),$O$3&gt;30,$A46&gt;49),0,
IF(AND(照護有術顯示判斷=2,'試算表(16歲-65歲)'!A46&gt;=20,'試算表(16歲-65歲)'!A46&lt;=29),0,
VLOOKUP("P"&amp;REPT("0",2-LEN(商品年期))&amp;商品年期&amp;"S"&amp;"2"&amp;"A"&amp;REPT("0",2-LEN(A46))&amp;A46,INDIRECT(主約費率表),6,FALSE)*$O$3)))</f>
        <v>0</v>
      </c>
      <c r="P46" s="146">
        <f t="shared" si="8"/>
        <v>0</v>
      </c>
      <c r="Q46" s="146">
        <f t="shared" si="9"/>
        <v>0</v>
      </c>
      <c r="R46" s="146">
        <f t="shared" si="10"/>
        <v>0</v>
      </c>
      <c r="S46" s="146">
        <f t="shared" si="11"/>
        <v>0</v>
      </c>
      <c r="T46" s="146">
        <f t="shared" si="12"/>
        <v>0</v>
      </c>
      <c r="U46" s="146" cm="1">
        <f t="array" ref="U46">IF(OR(A46="",$U$3=0),0,IF(ISERROR($U$3),0,ROUND(INDEX(MT_NP,1,職業等級)+(MAX(0,MT保額-3)*INDEX(MT_NP,2,職業等級)),0)))</f>
        <v>0</v>
      </c>
      <c r="V46" s="146">
        <f t="shared" si="13"/>
        <v>0</v>
      </c>
      <c r="W46" s="146">
        <f t="shared" si="14"/>
        <v>0</v>
      </c>
      <c r="X46" s="146">
        <f t="shared" si="18"/>
        <v>0</v>
      </c>
      <c r="Y46" s="146"/>
      <c r="Z46" s="146"/>
      <c r="AA46" s="153"/>
    </row>
    <row r="47" spans="1:27">
      <c r="A47" s="149" t="str">
        <f t="shared" si="16"/>
        <v/>
      </c>
      <c r="B47" s="150">
        <f ca="1">IF(OR(A47="",$B$3=0),0,
IF(AND(OR($B$2="ASGNLB1",$B$2="ASGNLB2"),$B$3&gt;30,$A47&gt;49),0,
IF(AND(照護有術顯示判斷=2,'試算表(16歲-65歲)'!A47&gt;=20,'試算表(16歲-65歲)'!A47&lt;=29),0,
VLOOKUP("P"&amp;REPT("0",2-LEN(商品年期))&amp;商品年期&amp;"S"&amp;"1"&amp;"A"&amp;REPT("0",2-LEN(A47))&amp;A47,INDIRECT(主約費率表),6,FALSE)*$B$3)))</f>
        <v>0</v>
      </c>
      <c r="C47" s="150">
        <f t="shared" si="0"/>
        <v>0</v>
      </c>
      <c r="D47" s="150">
        <f t="shared" si="1"/>
        <v>0</v>
      </c>
      <c r="E47" s="150">
        <f t="shared" si="2"/>
        <v>0</v>
      </c>
      <c r="F47" s="150">
        <f t="shared" si="3"/>
        <v>0</v>
      </c>
      <c r="G47" s="151">
        <f t="shared" si="4"/>
        <v>0</v>
      </c>
      <c r="H47" s="151" cm="1">
        <f t="array" ref="H47">IF(OR(A47="",$H$3=0),0,IF(ISERROR($H$3),0,ROUND(INDEX(MT_NP,1,職業等級)+(MAX(0,MT保額-3)*INDEX(MT_NP,2,職業等級)),0)))</f>
        <v>0</v>
      </c>
      <c r="I47" s="150">
        <f t="shared" si="5"/>
        <v>0</v>
      </c>
      <c r="J47" s="150">
        <f t="shared" si="6"/>
        <v>0</v>
      </c>
      <c r="K47" s="150">
        <f t="shared" si="17"/>
        <v>0</v>
      </c>
      <c r="L47" s="150"/>
      <c r="M47" s="150"/>
      <c r="N47" s="152"/>
      <c r="O47" s="146">
        <f ca="1">IF(OR(A47="",$O$3=0),0,
IF(AND(OR($O$2="ASGNLB1",$O$2="ASGNLB2"),$O$3&gt;30,$A47&gt;49),0,
IF(AND(照護有術顯示判斷=2,'試算表(16歲-65歲)'!A47&gt;=20,'試算表(16歲-65歲)'!A47&lt;=29),0,
VLOOKUP("P"&amp;REPT("0",2-LEN(商品年期))&amp;商品年期&amp;"S"&amp;"2"&amp;"A"&amp;REPT("0",2-LEN(A47))&amp;A47,INDIRECT(主約費率表),6,FALSE)*$O$3)))</f>
        <v>0</v>
      </c>
      <c r="P47" s="146">
        <f t="shared" si="8"/>
        <v>0</v>
      </c>
      <c r="Q47" s="146">
        <f t="shared" si="9"/>
        <v>0</v>
      </c>
      <c r="R47" s="146">
        <f t="shared" si="10"/>
        <v>0</v>
      </c>
      <c r="S47" s="146">
        <f t="shared" si="11"/>
        <v>0</v>
      </c>
      <c r="T47" s="146">
        <f t="shared" si="12"/>
        <v>0</v>
      </c>
      <c r="U47" s="146" cm="1">
        <f t="array" ref="U47">IF(OR(A47="",$U$3=0),0,IF(ISERROR($U$3),0,ROUND(INDEX(MT_NP,1,職業等級)+(MAX(0,MT保額-3)*INDEX(MT_NP,2,職業等級)),0)))</f>
        <v>0</v>
      </c>
      <c r="V47" s="146">
        <f t="shared" si="13"/>
        <v>0</v>
      </c>
      <c r="W47" s="146">
        <f t="shared" si="14"/>
        <v>0</v>
      </c>
      <c r="X47" s="146">
        <f t="shared" si="18"/>
        <v>0</v>
      </c>
      <c r="Y47" s="146"/>
      <c r="Z47" s="146"/>
      <c r="AA47" s="153"/>
    </row>
    <row r="48" spans="1:27">
      <c r="A48" s="149" t="str">
        <f t="shared" si="16"/>
        <v/>
      </c>
      <c r="B48" s="150">
        <f ca="1">IF(OR(A48="",$B$3=0),0,
IF(AND(OR($B$2="ASGNLB1",$B$2="ASGNLB2"),$B$3&gt;30,$A48&gt;49),0,
IF(AND(照護有術顯示判斷=2,'試算表(16歲-65歲)'!A48&gt;=20,'試算表(16歲-65歲)'!A48&lt;=29),0,
VLOOKUP("P"&amp;REPT("0",2-LEN(商品年期))&amp;商品年期&amp;"S"&amp;"1"&amp;"A"&amp;REPT("0",2-LEN(A48))&amp;A48,INDIRECT(主約費率表),6,FALSE)*$B$3)))</f>
        <v>0</v>
      </c>
      <c r="C48" s="150">
        <f t="shared" si="0"/>
        <v>0</v>
      </c>
      <c r="D48" s="150">
        <f t="shared" si="1"/>
        <v>0</v>
      </c>
      <c r="E48" s="150">
        <f t="shared" si="2"/>
        <v>0</v>
      </c>
      <c r="F48" s="150">
        <f t="shared" si="3"/>
        <v>0</v>
      </c>
      <c r="G48" s="151">
        <f t="shared" si="4"/>
        <v>0</v>
      </c>
      <c r="H48" s="151" cm="1">
        <f t="array" ref="H48">IF(OR(A48="",$H$3=0),0,IF(ISERROR($H$3),0,ROUND(INDEX(MT_NP,1,職業等級)+(MAX(0,MT保額-3)*INDEX(MT_NP,2,職業等級)),0)))</f>
        <v>0</v>
      </c>
      <c r="I48" s="150">
        <f t="shared" si="5"/>
        <v>0</v>
      </c>
      <c r="J48" s="150">
        <f t="shared" si="6"/>
        <v>0</v>
      </c>
      <c r="K48" s="150">
        <f t="shared" si="17"/>
        <v>0</v>
      </c>
      <c r="L48" s="150"/>
      <c r="M48" s="150"/>
      <c r="N48" s="152"/>
      <c r="O48" s="146">
        <f ca="1">IF(OR(A48="",$O$3=0),0,
IF(AND(OR($O$2="ASGNLB1",$O$2="ASGNLB2"),$O$3&gt;30,$A48&gt;49),0,
IF(AND(照護有術顯示判斷=2,'試算表(16歲-65歲)'!A48&gt;=20,'試算表(16歲-65歲)'!A48&lt;=29),0,
VLOOKUP("P"&amp;REPT("0",2-LEN(商品年期))&amp;商品年期&amp;"S"&amp;"2"&amp;"A"&amp;REPT("0",2-LEN(A48))&amp;A48,INDIRECT(主約費率表),6,FALSE)*$O$3)))</f>
        <v>0</v>
      </c>
      <c r="P48" s="146">
        <f t="shared" si="8"/>
        <v>0</v>
      </c>
      <c r="Q48" s="146">
        <f t="shared" si="9"/>
        <v>0</v>
      </c>
      <c r="R48" s="146">
        <f t="shared" si="10"/>
        <v>0</v>
      </c>
      <c r="S48" s="146">
        <f t="shared" si="11"/>
        <v>0</v>
      </c>
      <c r="T48" s="146">
        <f t="shared" si="12"/>
        <v>0</v>
      </c>
      <c r="U48" s="146" cm="1">
        <f t="array" ref="U48">IF(OR(A48="",$U$3=0),0,IF(ISERROR($U$3),0,ROUND(INDEX(MT_NP,1,職業等級)+(MAX(0,MT保額-3)*INDEX(MT_NP,2,職業等級)),0)))</f>
        <v>0</v>
      </c>
      <c r="V48" s="146">
        <f t="shared" si="13"/>
        <v>0</v>
      </c>
      <c r="W48" s="146">
        <f t="shared" si="14"/>
        <v>0</v>
      </c>
      <c r="X48" s="146">
        <f t="shared" si="18"/>
        <v>0</v>
      </c>
      <c r="Y48" s="146"/>
      <c r="Z48" s="146"/>
      <c r="AA48" s="153"/>
    </row>
    <row r="49" spans="1:27">
      <c r="A49" s="149" t="str">
        <f t="shared" si="16"/>
        <v/>
      </c>
      <c r="B49" s="150">
        <f ca="1">IF(OR(A49="",$B$3=0),0,
IF(AND(OR($B$2="ASGNLB1",$B$2="ASGNLB2"),$B$3&gt;30,$A49&gt;49),0,
IF(AND(照護有術顯示判斷=2,'試算表(16歲-65歲)'!A49&gt;=20,'試算表(16歲-65歲)'!A49&lt;=29),0,
VLOOKUP("P"&amp;REPT("0",2-LEN(商品年期))&amp;商品年期&amp;"S"&amp;"1"&amp;"A"&amp;REPT("0",2-LEN(A49))&amp;A49,INDIRECT(主約費率表),6,FALSE)*$B$3)))</f>
        <v>0</v>
      </c>
      <c r="C49" s="150">
        <f t="shared" si="0"/>
        <v>0</v>
      </c>
      <c r="D49" s="150">
        <f t="shared" si="1"/>
        <v>0</v>
      </c>
      <c r="E49" s="150">
        <f t="shared" si="2"/>
        <v>0</v>
      </c>
      <c r="F49" s="150">
        <f t="shared" si="3"/>
        <v>0</v>
      </c>
      <c r="G49" s="151">
        <f t="shared" si="4"/>
        <v>0</v>
      </c>
      <c r="H49" s="151" cm="1">
        <f t="array" ref="H49">IF(OR(A49="",$H$3=0),0,IF(ISERROR($H$3),0,ROUND(INDEX(MT_NP,1,職業等級)+(MAX(0,MT保額-3)*INDEX(MT_NP,2,職業等級)),0)))</f>
        <v>0</v>
      </c>
      <c r="I49" s="150">
        <f t="shared" si="5"/>
        <v>0</v>
      </c>
      <c r="J49" s="150">
        <f t="shared" si="6"/>
        <v>0</v>
      </c>
      <c r="K49" s="150">
        <f t="shared" si="17"/>
        <v>0</v>
      </c>
      <c r="L49" s="150"/>
      <c r="M49" s="150"/>
      <c r="N49" s="152"/>
      <c r="O49" s="146">
        <f ca="1">IF(OR(A49="",$O$3=0),0,
IF(AND(OR($O$2="ASGNLB1",$O$2="ASGNLB2"),$O$3&gt;30,$A49&gt;49),0,
IF(AND(照護有術顯示判斷=2,'試算表(16歲-65歲)'!A49&gt;=20,'試算表(16歲-65歲)'!A49&lt;=29),0,
VLOOKUP("P"&amp;REPT("0",2-LEN(商品年期))&amp;商品年期&amp;"S"&amp;"2"&amp;"A"&amp;REPT("0",2-LEN(A49))&amp;A49,INDIRECT(主約費率表),6,FALSE)*$O$3)))</f>
        <v>0</v>
      </c>
      <c r="P49" s="146">
        <f t="shared" si="8"/>
        <v>0</v>
      </c>
      <c r="Q49" s="146">
        <f t="shared" si="9"/>
        <v>0</v>
      </c>
      <c r="R49" s="146">
        <f t="shared" si="10"/>
        <v>0</v>
      </c>
      <c r="S49" s="146">
        <f t="shared" si="11"/>
        <v>0</v>
      </c>
      <c r="T49" s="146">
        <f t="shared" si="12"/>
        <v>0</v>
      </c>
      <c r="U49" s="146" cm="1">
        <f t="array" ref="U49">IF(OR(A49="",$U$3=0),0,IF(ISERROR($U$3),0,ROUND(INDEX(MT_NP,1,職業等級)+(MAX(0,MT保額-3)*INDEX(MT_NP,2,職業等級)),0)))</f>
        <v>0</v>
      </c>
      <c r="V49" s="146">
        <f t="shared" si="13"/>
        <v>0</v>
      </c>
      <c r="W49" s="146">
        <f t="shared" si="14"/>
        <v>0</v>
      </c>
      <c r="X49" s="146">
        <f t="shared" si="18"/>
        <v>0</v>
      </c>
      <c r="Y49" s="146"/>
      <c r="Z49" s="146"/>
      <c r="AA49" s="153"/>
    </row>
    <row r="50" spans="1:27">
      <c r="A50" s="149" t="str">
        <f t="shared" si="16"/>
        <v/>
      </c>
      <c r="B50" s="150">
        <f ca="1">IF(OR(A50="",$B$3=0),0,
IF(AND(OR($B$2="ASGNLB1",$B$2="ASGNLB2"),$B$3&gt;30,$A50&gt;49),0,
IF(AND(照護有術顯示判斷=2,'試算表(16歲-65歲)'!A50&gt;=20,'試算表(16歲-65歲)'!A50&lt;=29),0,
VLOOKUP("P"&amp;REPT("0",2-LEN(商品年期))&amp;商品年期&amp;"S"&amp;"1"&amp;"A"&amp;REPT("0",2-LEN(A50))&amp;A50,INDIRECT(主約費率表),6,FALSE)*$B$3)))</f>
        <v>0</v>
      </c>
      <c r="C50" s="150">
        <f t="shared" si="0"/>
        <v>0</v>
      </c>
      <c r="D50" s="150">
        <f t="shared" si="1"/>
        <v>0</v>
      </c>
      <c r="E50" s="150">
        <f t="shared" si="2"/>
        <v>0</v>
      </c>
      <c r="F50" s="150">
        <f t="shared" si="3"/>
        <v>0</v>
      </c>
      <c r="G50" s="151">
        <f t="shared" si="4"/>
        <v>0</v>
      </c>
      <c r="H50" s="151" cm="1">
        <f t="array" ref="H50">IF(OR(A50="",$H$3=0),0,IF(ISERROR($H$3),0,ROUND(INDEX(MT_NP,1,職業等級)+(MAX(0,MT保額-3)*INDEX(MT_NP,2,職業等級)),0)))</f>
        <v>0</v>
      </c>
      <c r="I50" s="150">
        <f t="shared" si="5"/>
        <v>0</v>
      </c>
      <c r="J50" s="150">
        <f t="shared" si="6"/>
        <v>0</v>
      </c>
      <c r="K50" s="150">
        <f t="shared" si="17"/>
        <v>0</v>
      </c>
      <c r="L50" s="150"/>
      <c r="M50" s="150"/>
      <c r="N50" s="152"/>
      <c r="O50" s="146">
        <f ca="1">IF(OR(A50="",$O$3=0),0,
IF(AND(OR($O$2="ASGNLB1",$O$2="ASGNLB2"),$O$3&gt;30,$A50&gt;49),0,
IF(AND(照護有術顯示判斷=2,'試算表(16歲-65歲)'!A50&gt;=20,'試算表(16歲-65歲)'!A50&lt;=29),0,
VLOOKUP("P"&amp;REPT("0",2-LEN(商品年期))&amp;商品年期&amp;"S"&amp;"2"&amp;"A"&amp;REPT("0",2-LEN(A50))&amp;A50,INDIRECT(主約費率表),6,FALSE)*$O$3)))</f>
        <v>0</v>
      </c>
      <c r="P50" s="146">
        <f t="shared" si="8"/>
        <v>0</v>
      </c>
      <c r="Q50" s="146">
        <f t="shared" si="9"/>
        <v>0</v>
      </c>
      <c r="R50" s="146">
        <f t="shared" si="10"/>
        <v>0</v>
      </c>
      <c r="S50" s="146">
        <f t="shared" si="11"/>
        <v>0</v>
      </c>
      <c r="T50" s="146">
        <f t="shared" si="12"/>
        <v>0</v>
      </c>
      <c r="U50" s="146" cm="1">
        <f t="array" ref="U50">IF(OR(A50="",$U$3=0),0,IF(ISERROR($U$3),0,ROUND(INDEX(MT_NP,1,職業等級)+(MAX(0,MT保額-3)*INDEX(MT_NP,2,職業等級)),0)))</f>
        <v>0</v>
      </c>
      <c r="V50" s="146">
        <f t="shared" si="13"/>
        <v>0</v>
      </c>
      <c r="W50" s="146">
        <f t="shared" si="14"/>
        <v>0</v>
      </c>
      <c r="X50" s="146">
        <f t="shared" si="18"/>
        <v>0</v>
      </c>
      <c r="Y50" s="146"/>
      <c r="Z50" s="146"/>
      <c r="AA50" s="153"/>
    </row>
    <row r="51" spans="1:27">
      <c r="A51" s="149" t="str">
        <f t="shared" si="16"/>
        <v/>
      </c>
      <c r="B51" s="150">
        <f ca="1">IF(OR(A51="",$B$3=0),0,
IF(AND(OR($B$2="ASGNLB1",$B$2="ASGNLB2"),$B$3&gt;30,$A51&gt;49),0,
IF(AND(照護有術顯示判斷=2,'試算表(16歲-65歲)'!A51&gt;=20,'試算表(16歲-65歲)'!A51&lt;=29),0,
VLOOKUP("P"&amp;REPT("0",2-LEN(商品年期))&amp;商品年期&amp;"S"&amp;"1"&amp;"A"&amp;REPT("0",2-LEN(A51))&amp;A51,INDIRECT(主約費率表),6,FALSE)*$B$3)))</f>
        <v>0</v>
      </c>
      <c r="C51" s="150">
        <f t="shared" si="0"/>
        <v>0</v>
      </c>
      <c r="D51" s="150">
        <f t="shared" si="1"/>
        <v>0</v>
      </c>
      <c r="E51" s="150">
        <f t="shared" si="2"/>
        <v>0</v>
      </c>
      <c r="F51" s="150">
        <f t="shared" si="3"/>
        <v>0</v>
      </c>
      <c r="G51" s="151">
        <f t="shared" si="4"/>
        <v>0</v>
      </c>
      <c r="H51" s="151" cm="1">
        <f t="array" ref="H51">IF(OR(A51="",$H$3=0),0,IF(ISERROR($H$3),0,ROUND(INDEX(MT_NP,1,職業等級)+(MAX(0,MT保額-3)*INDEX(MT_NP,2,職業等級)),0)))</f>
        <v>0</v>
      </c>
      <c r="I51" s="150">
        <f t="shared" si="5"/>
        <v>0</v>
      </c>
      <c r="J51" s="150">
        <f t="shared" si="6"/>
        <v>0</v>
      </c>
      <c r="K51" s="150">
        <f t="shared" si="17"/>
        <v>0</v>
      </c>
      <c r="L51" s="150"/>
      <c r="M51" s="150"/>
      <c r="N51" s="152"/>
      <c r="O51" s="146">
        <f ca="1">IF(OR(A51="",$O$3=0),0,
IF(AND(OR($O$2="ASGNLB1",$O$2="ASGNLB2"),$O$3&gt;30,$A51&gt;49),0,
IF(AND(照護有術顯示判斷=2,'試算表(16歲-65歲)'!A51&gt;=20,'試算表(16歲-65歲)'!A51&lt;=29),0,
VLOOKUP("P"&amp;REPT("0",2-LEN(商品年期))&amp;商品年期&amp;"S"&amp;"2"&amp;"A"&amp;REPT("0",2-LEN(A51))&amp;A51,INDIRECT(主約費率表),6,FALSE)*$O$3)))</f>
        <v>0</v>
      </c>
      <c r="P51" s="146">
        <f t="shared" si="8"/>
        <v>0</v>
      </c>
      <c r="Q51" s="146">
        <f t="shared" si="9"/>
        <v>0</v>
      </c>
      <c r="R51" s="146">
        <f t="shared" si="10"/>
        <v>0</v>
      </c>
      <c r="S51" s="146">
        <f t="shared" si="11"/>
        <v>0</v>
      </c>
      <c r="T51" s="146">
        <f t="shared" si="12"/>
        <v>0</v>
      </c>
      <c r="U51" s="146" cm="1">
        <f t="array" ref="U51">IF(OR(A51="",$U$3=0),0,IF(ISERROR($U$3),0,ROUND(INDEX(MT_NP,1,職業等級)+(MAX(0,MT保額-3)*INDEX(MT_NP,2,職業等級)),0)))</f>
        <v>0</v>
      </c>
      <c r="V51" s="146">
        <f t="shared" si="13"/>
        <v>0</v>
      </c>
      <c r="W51" s="146">
        <f t="shared" si="14"/>
        <v>0</v>
      </c>
      <c r="X51" s="146">
        <f t="shared" si="18"/>
        <v>0</v>
      </c>
      <c r="Y51" s="146"/>
      <c r="Z51" s="146"/>
      <c r="AA51" s="153"/>
    </row>
    <row r="52" spans="1:27">
      <c r="A52" s="149" t="str">
        <f t="shared" si="16"/>
        <v/>
      </c>
      <c r="B52" s="150">
        <f ca="1">IF(OR(A52="",$B$3=0),0,
IF(AND(OR($B$2="ASGNLB1",$B$2="ASGNLB2"),$B$3&gt;30,$A52&gt;49),0,
IF(AND(照護有術顯示判斷=2,'試算表(16歲-65歲)'!A52&gt;=20,'試算表(16歲-65歲)'!A52&lt;=29),0,
VLOOKUP("P"&amp;REPT("0",2-LEN(商品年期))&amp;商品年期&amp;"S"&amp;"1"&amp;"A"&amp;REPT("0",2-LEN(A52))&amp;A52,INDIRECT(主約費率表),6,FALSE)*$B$3)))</f>
        <v>0</v>
      </c>
      <c r="C52" s="150">
        <f t="shared" si="0"/>
        <v>0</v>
      </c>
      <c r="D52" s="150">
        <f t="shared" si="1"/>
        <v>0</v>
      </c>
      <c r="E52" s="150">
        <f t="shared" si="2"/>
        <v>0</v>
      </c>
      <c r="F52" s="150">
        <f t="shared" si="3"/>
        <v>0</v>
      </c>
      <c r="G52" s="151">
        <f t="shared" si="4"/>
        <v>0</v>
      </c>
      <c r="H52" s="151" cm="1">
        <f t="array" ref="H52">IF(OR(A52="",$H$3=0),0,IF(ISERROR($H$3),0,ROUND(INDEX(MT_NP,1,職業等級)+(MAX(0,MT保額-3)*INDEX(MT_NP,2,職業等級)),0)))</f>
        <v>0</v>
      </c>
      <c r="I52" s="150">
        <f t="shared" si="5"/>
        <v>0</v>
      </c>
      <c r="J52" s="150">
        <f t="shared" si="6"/>
        <v>0</v>
      </c>
      <c r="K52" s="150">
        <f t="shared" si="17"/>
        <v>0</v>
      </c>
      <c r="L52" s="150"/>
      <c r="M52" s="150"/>
      <c r="N52" s="152"/>
      <c r="O52" s="146">
        <f ca="1">IF(OR(A52="",$O$3=0),0,
IF(AND(OR($O$2="ASGNLB1",$O$2="ASGNLB2"),$O$3&gt;30,$A52&gt;49),0,
IF(AND(照護有術顯示判斷=2,'試算表(16歲-65歲)'!A52&gt;=20,'試算表(16歲-65歲)'!A52&lt;=29),0,
VLOOKUP("P"&amp;REPT("0",2-LEN(商品年期))&amp;商品年期&amp;"S"&amp;"2"&amp;"A"&amp;REPT("0",2-LEN(A52))&amp;A52,INDIRECT(主約費率表),6,FALSE)*$O$3)))</f>
        <v>0</v>
      </c>
      <c r="P52" s="146">
        <f t="shared" si="8"/>
        <v>0</v>
      </c>
      <c r="Q52" s="146">
        <f t="shared" si="9"/>
        <v>0</v>
      </c>
      <c r="R52" s="146">
        <f t="shared" si="10"/>
        <v>0</v>
      </c>
      <c r="S52" s="146">
        <f t="shared" si="11"/>
        <v>0</v>
      </c>
      <c r="T52" s="146">
        <f t="shared" si="12"/>
        <v>0</v>
      </c>
      <c r="U52" s="146" cm="1">
        <f t="array" ref="U52">IF(OR(A52="",$U$3=0),0,IF(ISERROR($U$3),0,ROUND(INDEX(MT_NP,1,職業等級)+(MAX(0,MT保額-3)*INDEX(MT_NP,2,職業等級)),0)))</f>
        <v>0</v>
      </c>
      <c r="V52" s="146">
        <f t="shared" si="13"/>
        <v>0</v>
      </c>
      <c r="W52" s="146">
        <f t="shared" si="14"/>
        <v>0</v>
      </c>
      <c r="X52" s="146">
        <f t="shared" si="18"/>
        <v>0</v>
      </c>
      <c r="Y52" s="146"/>
      <c r="Z52" s="146"/>
      <c r="AA52" s="153"/>
    </row>
    <row r="53" spans="1:27">
      <c r="A53" s="149" t="str">
        <f t="shared" si="16"/>
        <v/>
      </c>
      <c r="B53" s="150">
        <f ca="1">IF(OR(A53="",$B$3=0),0,
IF(AND(OR($B$2="ASGNLB1",$B$2="ASGNLB2"),$B$3&gt;30,$A53&gt;49),0,
IF(AND(照護有術顯示判斷=2,'試算表(16歲-65歲)'!A53&gt;=20,'試算表(16歲-65歲)'!A53&lt;=29),0,
VLOOKUP("P"&amp;REPT("0",2-LEN(商品年期))&amp;商品年期&amp;"S"&amp;"1"&amp;"A"&amp;REPT("0",2-LEN(A53))&amp;A53,INDIRECT(主約費率表),6,FALSE)*$B$3)))</f>
        <v>0</v>
      </c>
      <c r="C53" s="150">
        <f t="shared" si="0"/>
        <v>0</v>
      </c>
      <c r="D53" s="150">
        <f t="shared" si="1"/>
        <v>0</v>
      </c>
      <c r="E53" s="150">
        <f t="shared" si="2"/>
        <v>0</v>
      </c>
      <c r="F53" s="150">
        <f t="shared" si="3"/>
        <v>0</v>
      </c>
      <c r="G53" s="151">
        <f t="shared" si="4"/>
        <v>0</v>
      </c>
      <c r="H53" s="151" cm="1">
        <f t="array" ref="H53">IF(OR(A53="",$H$3=0),0,IF(ISERROR($H$3),0,ROUND(INDEX(MT_NP,1,職業等級)+(MAX(0,MT保額-3)*INDEX(MT_NP,2,職業等級)),0)))</f>
        <v>0</v>
      </c>
      <c r="I53" s="150">
        <f t="shared" si="5"/>
        <v>0</v>
      </c>
      <c r="J53" s="150">
        <f t="shared" si="6"/>
        <v>0</v>
      </c>
      <c r="K53" s="150">
        <f t="shared" si="17"/>
        <v>0</v>
      </c>
      <c r="L53" s="150"/>
      <c r="M53" s="150"/>
      <c r="N53" s="152"/>
      <c r="O53" s="146">
        <f ca="1">IF(OR(A53="",$O$3=0),0,
IF(AND(OR($O$2="ASGNLB1",$O$2="ASGNLB2"),$O$3&gt;30,$A53&gt;49),0,
IF(AND(照護有術顯示判斷=2,'試算表(16歲-65歲)'!A53&gt;=20,'試算表(16歲-65歲)'!A53&lt;=29),0,
VLOOKUP("P"&amp;REPT("0",2-LEN(商品年期))&amp;商品年期&amp;"S"&amp;"2"&amp;"A"&amp;REPT("0",2-LEN(A53))&amp;A53,INDIRECT(主約費率表),6,FALSE)*$O$3)))</f>
        <v>0</v>
      </c>
      <c r="P53" s="146">
        <f t="shared" si="8"/>
        <v>0</v>
      </c>
      <c r="Q53" s="146">
        <f t="shared" si="9"/>
        <v>0</v>
      </c>
      <c r="R53" s="146">
        <f t="shared" si="10"/>
        <v>0</v>
      </c>
      <c r="S53" s="146">
        <f t="shared" si="11"/>
        <v>0</v>
      </c>
      <c r="T53" s="146">
        <f t="shared" si="12"/>
        <v>0</v>
      </c>
      <c r="U53" s="146" cm="1">
        <f t="array" ref="U53">IF(OR(A53="",$U$3=0),0,IF(ISERROR($U$3),0,ROUND(INDEX(MT_NP,1,職業等級)+(MAX(0,MT保額-3)*INDEX(MT_NP,2,職業等級)),0)))</f>
        <v>0</v>
      </c>
      <c r="V53" s="146">
        <f t="shared" si="13"/>
        <v>0</v>
      </c>
      <c r="W53" s="146">
        <f t="shared" si="14"/>
        <v>0</v>
      </c>
      <c r="X53" s="146">
        <f t="shared" si="18"/>
        <v>0</v>
      </c>
      <c r="Y53" s="146"/>
      <c r="Z53" s="146"/>
      <c r="AA53" s="153"/>
    </row>
    <row r="54" spans="1:27">
      <c r="A54" s="149" t="str">
        <f t="shared" si="16"/>
        <v/>
      </c>
      <c r="B54" s="150">
        <f ca="1">IF(OR(A54="",$B$3=0),0,
IF(AND(OR($B$2="ASGNLB1",$B$2="ASGNLB2"),$B$3&gt;30,$A54&gt;49),0,
IF(AND(照護有術顯示判斷=2,'試算表(16歲-65歲)'!A54&gt;=20,'試算表(16歲-65歲)'!A54&lt;=29),0,
VLOOKUP("P"&amp;REPT("0",2-LEN(商品年期))&amp;商品年期&amp;"S"&amp;"1"&amp;"A"&amp;REPT("0",2-LEN(A54))&amp;A54,INDIRECT(主約費率表),6,FALSE)*$B$3)))</f>
        <v>0</v>
      </c>
      <c r="C54" s="150">
        <f t="shared" si="0"/>
        <v>0</v>
      </c>
      <c r="D54" s="150">
        <f t="shared" si="1"/>
        <v>0</v>
      </c>
      <c r="E54" s="150">
        <f t="shared" si="2"/>
        <v>0</v>
      </c>
      <c r="F54" s="150">
        <f t="shared" si="3"/>
        <v>0</v>
      </c>
      <c r="G54" s="151">
        <f t="shared" si="4"/>
        <v>0</v>
      </c>
      <c r="H54" s="151" cm="1">
        <f t="array" ref="H54">IF(OR(A54="",$H$3=0),0,IF(ISERROR($H$3),0,ROUND(INDEX(MT_NP,1,職業等級)+(MAX(0,MT保額-3)*INDEX(MT_NP,2,職業等級)),0)))</f>
        <v>0</v>
      </c>
      <c r="I54" s="150">
        <f t="shared" si="5"/>
        <v>0</v>
      </c>
      <c r="J54" s="150">
        <f t="shared" si="6"/>
        <v>0</v>
      </c>
      <c r="K54" s="150">
        <f t="shared" si="17"/>
        <v>0</v>
      </c>
      <c r="L54" s="150"/>
      <c r="M54" s="150"/>
      <c r="N54" s="152"/>
      <c r="O54" s="146">
        <f ca="1">IF(OR(A54="",$O$3=0),0,
IF(AND(OR($O$2="ASGNLB1",$O$2="ASGNLB2"),$O$3&gt;30,$A54&gt;49),0,
IF(AND(照護有術顯示判斷=2,'試算表(16歲-65歲)'!A54&gt;=20,'試算表(16歲-65歲)'!A54&lt;=29),0,
VLOOKUP("P"&amp;REPT("0",2-LEN(商品年期))&amp;商品年期&amp;"S"&amp;"2"&amp;"A"&amp;REPT("0",2-LEN(A54))&amp;A54,INDIRECT(主約費率表),6,FALSE)*$O$3)))</f>
        <v>0</v>
      </c>
      <c r="P54" s="146">
        <f t="shared" si="8"/>
        <v>0</v>
      </c>
      <c r="Q54" s="146">
        <f t="shared" si="9"/>
        <v>0</v>
      </c>
      <c r="R54" s="146">
        <f t="shared" si="10"/>
        <v>0</v>
      </c>
      <c r="S54" s="146">
        <f t="shared" si="11"/>
        <v>0</v>
      </c>
      <c r="T54" s="146">
        <f t="shared" si="12"/>
        <v>0</v>
      </c>
      <c r="U54" s="146" cm="1">
        <f t="array" ref="U54">IF(OR(A54="",$U$3=0),0,IF(ISERROR($U$3),0,ROUND(INDEX(MT_NP,1,職業等級)+(MAX(0,MT保額-3)*INDEX(MT_NP,2,職業等級)),0)))</f>
        <v>0</v>
      </c>
      <c r="V54" s="146">
        <f t="shared" si="13"/>
        <v>0</v>
      </c>
      <c r="W54" s="146">
        <f t="shared" si="14"/>
        <v>0</v>
      </c>
      <c r="X54" s="146">
        <f t="shared" si="18"/>
        <v>0</v>
      </c>
      <c r="Y54" s="146"/>
      <c r="Z54" s="146"/>
      <c r="AA54" s="153"/>
    </row>
    <row r="55" spans="1:27">
      <c r="A55" s="149" t="str">
        <f t="shared" si="16"/>
        <v/>
      </c>
      <c r="B55" s="150">
        <f ca="1">IF(OR(A55="",$B$3=0),0,
IF(AND(OR($B$2="ASGNLB1",$B$2="ASGNLB2"),$B$3&gt;30,$A55&gt;49),0,
IF(AND(照護有術顯示判斷=2,'試算表(16歲-65歲)'!A55&gt;=20,'試算表(16歲-65歲)'!A55&lt;=29),0,
VLOOKUP("P"&amp;REPT("0",2-LEN(商品年期))&amp;商品年期&amp;"S"&amp;"1"&amp;"A"&amp;REPT("0",2-LEN(A55))&amp;A55,INDIRECT(主約費率表),6,FALSE)*$B$3)))</f>
        <v>0</v>
      </c>
      <c r="C55" s="150">
        <f t="shared" si="0"/>
        <v>0</v>
      </c>
      <c r="D55" s="150">
        <f t="shared" si="1"/>
        <v>0</v>
      </c>
      <c r="E55" s="150">
        <f t="shared" si="2"/>
        <v>0</v>
      </c>
      <c r="F55" s="150">
        <f t="shared" si="3"/>
        <v>0</v>
      </c>
      <c r="G55" s="151">
        <f t="shared" si="4"/>
        <v>0</v>
      </c>
      <c r="H55" s="151" cm="1">
        <f t="array" ref="H55">IF(OR(A55="",$H$3=0),0,IF(ISERROR($H$3),0,ROUND(INDEX(MT_NP,1,職業等級)+(MAX(0,MT保額-3)*INDEX(MT_NP,2,職業等級)),0)))</f>
        <v>0</v>
      </c>
      <c r="I55" s="150">
        <f t="shared" si="5"/>
        <v>0</v>
      </c>
      <c r="J55" s="150">
        <f t="shared" si="6"/>
        <v>0</v>
      </c>
      <c r="K55" s="150">
        <f t="shared" si="17"/>
        <v>0</v>
      </c>
      <c r="L55" s="150"/>
      <c r="M55" s="150"/>
      <c r="N55" s="152"/>
      <c r="O55" s="146">
        <f ca="1">IF(OR(A55="",$O$3=0),0,
IF(AND(OR($O$2="ASGNLB1",$O$2="ASGNLB2"),$O$3&gt;30,$A55&gt;49),0,
IF(AND(照護有術顯示判斷=2,'試算表(16歲-65歲)'!A55&gt;=20,'試算表(16歲-65歲)'!A55&lt;=29),0,
VLOOKUP("P"&amp;REPT("0",2-LEN(商品年期))&amp;商品年期&amp;"S"&amp;"2"&amp;"A"&amp;REPT("0",2-LEN(A55))&amp;A55,INDIRECT(主約費率表),6,FALSE)*$O$3)))</f>
        <v>0</v>
      </c>
      <c r="P55" s="146">
        <f t="shared" si="8"/>
        <v>0</v>
      </c>
      <c r="Q55" s="146">
        <f t="shared" si="9"/>
        <v>0</v>
      </c>
      <c r="R55" s="146">
        <f t="shared" si="10"/>
        <v>0</v>
      </c>
      <c r="S55" s="146">
        <f t="shared" si="11"/>
        <v>0</v>
      </c>
      <c r="T55" s="146">
        <f t="shared" si="12"/>
        <v>0</v>
      </c>
      <c r="U55" s="146" cm="1">
        <f t="array" ref="U55">IF(OR(A55="",$U$3=0),0,IF(ISERROR($U$3),0,ROUND(INDEX(MT_NP,1,職業等級)+(MAX(0,MT保額-3)*INDEX(MT_NP,2,職業等級)),0)))</f>
        <v>0</v>
      </c>
      <c r="V55" s="146">
        <f t="shared" si="13"/>
        <v>0</v>
      </c>
      <c r="W55" s="146">
        <f t="shared" si="14"/>
        <v>0</v>
      </c>
      <c r="X55" s="146">
        <f t="shared" si="18"/>
        <v>0</v>
      </c>
      <c r="Y55" s="146"/>
      <c r="Z55" s="146"/>
      <c r="AA55" s="153"/>
    </row>
    <row r="56" spans="1:27">
      <c r="A56" s="149" t="str">
        <f t="shared" si="16"/>
        <v/>
      </c>
      <c r="B56" s="150">
        <f ca="1">IF(OR(A56="",$B$3=0),0,
IF(AND(OR($B$2="ASGNLB1",$B$2="ASGNLB2"),$B$3&gt;30,$A56&gt;49),0,
IF(AND(照護有術顯示判斷=2,'試算表(16歲-65歲)'!A56&gt;=20,'試算表(16歲-65歲)'!A56&lt;=29),0,
VLOOKUP("P"&amp;REPT("0",2-LEN(商品年期))&amp;商品年期&amp;"S"&amp;"1"&amp;"A"&amp;REPT("0",2-LEN(A56))&amp;A56,INDIRECT(主約費率表),6,FALSE)*$B$3)))</f>
        <v>0</v>
      </c>
      <c r="C56" s="150">
        <f t="shared" si="0"/>
        <v>0</v>
      </c>
      <c r="D56" s="150">
        <f t="shared" si="1"/>
        <v>0</v>
      </c>
      <c r="E56" s="150">
        <f t="shared" si="2"/>
        <v>0</v>
      </c>
      <c r="F56" s="150">
        <f t="shared" si="3"/>
        <v>0</v>
      </c>
      <c r="G56" s="151">
        <f t="shared" si="4"/>
        <v>0</v>
      </c>
      <c r="H56" s="151" cm="1">
        <f t="array" ref="H56">IF(OR(A56="",$H$3=0),0,IF(ISERROR($H$3),0,ROUND(INDEX(MT_NP,1,職業等級)+(MAX(0,MT保額-3)*INDEX(MT_NP,2,職業等級)),0)))</f>
        <v>0</v>
      </c>
      <c r="I56" s="150">
        <f t="shared" si="5"/>
        <v>0</v>
      </c>
      <c r="J56" s="150">
        <f t="shared" si="6"/>
        <v>0</v>
      </c>
      <c r="K56" s="150">
        <f t="shared" si="17"/>
        <v>0</v>
      </c>
      <c r="L56" s="150"/>
      <c r="M56" s="150"/>
      <c r="N56" s="152"/>
      <c r="O56" s="146">
        <f ca="1">IF(OR(A56="",$O$3=0),0,
IF(AND(OR($O$2="ASGNLB1",$O$2="ASGNLB2"),$O$3&gt;30,$A56&gt;49),0,
IF(AND(照護有術顯示判斷=2,'試算表(16歲-65歲)'!A56&gt;=20,'試算表(16歲-65歲)'!A56&lt;=29),0,
VLOOKUP("P"&amp;REPT("0",2-LEN(商品年期))&amp;商品年期&amp;"S"&amp;"2"&amp;"A"&amp;REPT("0",2-LEN(A56))&amp;A56,INDIRECT(主約費率表),6,FALSE)*$O$3)))</f>
        <v>0</v>
      </c>
      <c r="P56" s="146">
        <f t="shared" si="8"/>
        <v>0</v>
      </c>
      <c r="Q56" s="146">
        <f t="shared" si="9"/>
        <v>0</v>
      </c>
      <c r="R56" s="146">
        <f t="shared" si="10"/>
        <v>0</v>
      </c>
      <c r="S56" s="146">
        <f t="shared" si="11"/>
        <v>0</v>
      </c>
      <c r="T56" s="146">
        <f t="shared" si="12"/>
        <v>0</v>
      </c>
      <c r="U56" s="146" cm="1">
        <f t="array" ref="U56">IF(OR(A56="",$U$3=0),0,IF(ISERROR($U$3),0,ROUND(INDEX(MT_NP,1,職業等級)+(MAX(0,MT保額-3)*INDEX(MT_NP,2,職業等級)),0)))</f>
        <v>0</v>
      </c>
      <c r="V56" s="146">
        <f t="shared" si="13"/>
        <v>0</v>
      </c>
      <c r="W56" s="146">
        <f t="shared" si="14"/>
        <v>0</v>
      </c>
      <c r="X56" s="146">
        <f t="shared" si="18"/>
        <v>0</v>
      </c>
      <c r="Y56" s="146"/>
      <c r="Z56" s="146"/>
      <c r="AA56" s="153"/>
    </row>
    <row r="57" spans="1:27">
      <c r="A57" s="149" t="str">
        <f t="shared" si="16"/>
        <v/>
      </c>
      <c r="B57" s="150">
        <f ca="1">IF(OR(A57="",$B$3=0),0,
IF(AND(OR($B$2="ASGNLB1",$B$2="ASGNLB2"),$B$3&gt;30,$A57&gt;49),0,
IF(AND(照護有術顯示判斷=2,'試算表(16歲-65歲)'!A57&gt;=20,'試算表(16歲-65歲)'!A57&lt;=29),0,
VLOOKUP("P"&amp;REPT("0",2-LEN(商品年期))&amp;商品年期&amp;"S"&amp;"1"&amp;"A"&amp;REPT("0",2-LEN(A57))&amp;A57,INDIRECT(主約費率表),6,FALSE)*$B$3)))</f>
        <v>0</v>
      </c>
      <c r="C57" s="150">
        <f t="shared" si="0"/>
        <v>0</v>
      </c>
      <c r="D57" s="150">
        <f t="shared" si="1"/>
        <v>0</v>
      </c>
      <c r="E57" s="150">
        <f t="shared" si="2"/>
        <v>0</v>
      </c>
      <c r="F57" s="150">
        <f t="shared" si="3"/>
        <v>0</v>
      </c>
      <c r="G57" s="151">
        <f t="shared" si="4"/>
        <v>0</v>
      </c>
      <c r="H57" s="151" cm="1">
        <f t="array" ref="H57">IF(OR(A57="",$H$3=0),0,IF(ISERROR($H$3),0,ROUND(INDEX(MT_NP,1,職業等級)+(MAX(0,MT保額-3)*INDEX(MT_NP,2,職業等級)),0)))</f>
        <v>0</v>
      </c>
      <c r="I57" s="150">
        <f t="shared" si="5"/>
        <v>0</v>
      </c>
      <c r="J57" s="150">
        <f t="shared" si="6"/>
        <v>0</v>
      </c>
      <c r="K57" s="150">
        <f t="shared" si="17"/>
        <v>0</v>
      </c>
      <c r="L57" s="150"/>
      <c r="M57" s="150"/>
      <c r="N57" s="152"/>
      <c r="O57" s="146">
        <f ca="1">IF(OR(A57="",$O$3=0),0,
IF(AND(OR($O$2="ASGNLB1",$O$2="ASGNLB2"),$O$3&gt;30,$A57&gt;49),0,
IF(AND(照護有術顯示判斷=2,'試算表(16歲-65歲)'!A57&gt;=20,'試算表(16歲-65歲)'!A57&lt;=29),0,
VLOOKUP("P"&amp;REPT("0",2-LEN(商品年期))&amp;商品年期&amp;"S"&amp;"2"&amp;"A"&amp;REPT("0",2-LEN(A57))&amp;A57,INDIRECT(主約費率表),6,FALSE)*$O$3)))</f>
        <v>0</v>
      </c>
      <c r="P57" s="146">
        <f t="shared" si="8"/>
        <v>0</v>
      </c>
      <c r="Q57" s="146">
        <f t="shared" si="9"/>
        <v>0</v>
      </c>
      <c r="R57" s="146">
        <f t="shared" si="10"/>
        <v>0</v>
      </c>
      <c r="S57" s="146">
        <f t="shared" si="11"/>
        <v>0</v>
      </c>
      <c r="T57" s="146">
        <f t="shared" si="12"/>
        <v>0</v>
      </c>
      <c r="U57" s="146" cm="1">
        <f t="array" ref="U57">IF(OR(A57="",$U$3=0),0,IF(ISERROR($U$3),0,ROUND(INDEX(MT_NP,1,職業等級)+(MAX(0,MT保額-3)*INDEX(MT_NP,2,職業等級)),0)))</f>
        <v>0</v>
      </c>
      <c r="V57" s="146">
        <f t="shared" si="13"/>
        <v>0</v>
      </c>
      <c r="W57" s="146">
        <f t="shared" si="14"/>
        <v>0</v>
      </c>
      <c r="X57" s="146">
        <f t="shared" si="18"/>
        <v>0</v>
      </c>
      <c r="Y57" s="146"/>
      <c r="Z57" s="146"/>
      <c r="AA57" s="153"/>
    </row>
    <row r="58" spans="1:27">
      <c r="A58" s="149" t="str">
        <f t="shared" si="16"/>
        <v/>
      </c>
      <c r="B58" s="150">
        <f ca="1">IF(OR(A58="",$B$3=0),0,
IF(AND(OR($B$2="ASGNLB1",$B$2="ASGNLB2"),$B$3&gt;30,$A58&gt;49),0,
IF(AND(照護有術顯示判斷=2,'試算表(16歲-65歲)'!A58&gt;=20,'試算表(16歲-65歲)'!A58&lt;=29),0,
VLOOKUP("P"&amp;REPT("0",2-LEN(商品年期))&amp;商品年期&amp;"S"&amp;"1"&amp;"A"&amp;REPT("0",2-LEN(A58))&amp;A58,INDIRECT(主約費率表),6,FALSE)*$B$3)))</f>
        <v>0</v>
      </c>
      <c r="C58" s="150">
        <f t="shared" si="0"/>
        <v>0</v>
      </c>
      <c r="D58" s="150">
        <f t="shared" si="1"/>
        <v>0</v>
      </c>
      <c r="E58" s="150">
        <f t="shared" si="2"/>
        <v>0</v>
      </c>
      <c r="F58" s="150">
        <f t="shared" si="3"/>
        <v>0</v>
      </c>
      <c r="G58" s="151">
        <f t="shared" si="4"/>
        <v>0</v>
      </c>
      <c r="H58" s="151" cm="1">
        <f t="array" ref="H58">IF(OR(A58="",$H$3=0),0,IF(ISERROR($H$3),0,ROUND(INDEX(MT_NP,1,職業等級)+(MAX(0,MT保額-3)*INDEX(MT_NP,2,職業等級)),0)))</f>
        <v>0</v>
      </c>
      <c r="I58" s="150">
        <f t="shared" si="5"/>
        <v>0</v>
      </c>
      <c r="J58" s="150">
        <f t="shared" si="6"/>
        <v>0</v>
      </c>
      <c r="K58" s="150">
        <f t="shared" si="17"/>
        <v>0</v>
      </c>
      <c r="L58" s="150"/>
      <c r="M58" s="150"/>
      <c r="N58" s="152"/>
      <c r="O58" s="146">
        <f ca="1">IF(OR(A58="",$O$3=0),0,
IF(AND(OR($O$2="ASGNLB1",$O$2="ASGNLB2"),$O$3&gt;30,$A58&gt;49),0,
IF(AND(照護有術顯示判斷=2,'試算表(16歲-65歲)'!A58&gt;=20,'試算表(16歲-65歲)'!A58&lt;=29),0,
VLOOKUP("P"&amp;REPT("0",2-LEN(商品年期))&amp;商品年期&amp;"S"&amp;"2"&amp;"A"&amp;REPT("0",2-LEN(A58))&amp;A58,INDIRECT(主約費率表),6,FALSE)*$O$3)))</f>
        <v>0</v>
      </c>
      <c r="P58" s="146">
        <f t="shared" si="8"/>
        <v>0</v>
      </c>
      <c r="Q58" s="146">
        <f t="shared" si="9"/>
        <v>0</v>
      </c>
      <c r="R58" s="146">
        <f t="shared" si="10"/>
        <v>0</v>
      </c>
      <c r="S58" s="146">
        <f t="shared" si="11"/>
        <v>0</v>
      </c>
      <c r="T58" s="146">
        <f t="shared" si="12"/>
        <v>0</v>
      </c>
      <c r="U58" s="146" cm="1">
        <f t="array" ref="U58">IF(OR(A58="",$U$3=0),0,IF(ISERROR($U$3),0,ROUND(INDEX(MT_NP,1,職業等級)+(MAX(0,MT保額-3)*INDEX(MT_NP,2,職業等級)),0)))</f>
        <v>0</v>
      </c>
      <c r="V58" s="146">
        <f t="shared" si="13"/>
        <v>0</v>
      </c>
      <c r="W58" s="146">
        <f t="shared" si="14"/>
        <v>0</v>
      </c>
      <c r="X58" s="146">
        <f t="shared" si="18"/>
        <v>0</v>
      </c>
      <c r="Y58" s="146"/>
      <c r="Z58" s="146"/>
      <c r="AA58" s="153"/>
    </row>
    <row r="59" spans="1:27">
      <c r="A59" s="149" t="str">
        <f t="shared" si="16"/>
        <v/>
      </c>
      <c r="B59" s="150">
        <f ca="1">IF(OR(A59="",$B$3=0),0,
IF(AND(OR($B$2="ASGNLB1",$B$2="ASGNLB2"),$B$3&gt;30,$A59&gt;49),0,
IF(AND(照護有術顯示判斷=2,'試算表(16歲-65歲)'!A59&gt;=20,'試算表(16歲-65歲)'!A59&lt;=29),0,
VLOOKUP("P"&amp;REPT("0",2-LEN(商品年期))&amp;商品年期&amp;"S"&amp;"1"&amp;"A"&amp;REPT("0",2-LEN(A59))&amp;A59,INDIRECT(主約費率表),6,FALSE)*$B$3)))</f>
        <v>0</v>
      </c>
      <c r="C59" s="150">
        <f t="shared" si="0"/>
        <v>0</v>
      </c>
      <c r="D59" s="150">
        <f t="shared" si="1"/>
        <v>0</v>
      </c>
      <c r="E59" s="150">
        <f t="shared" si="2"/>
        <v>0</v>
      </c>
      <c r="F59" s="150">
        <f t="shared" si="3"/>
        <v>0</v>
      </c>
      <c r="G59" s="151">
        <f t="shared" si="4"/>
        <v>0</v>
      </c>
      <c r="H59" s="151" cm="1">
        <f t="array" ref="H59">IF(OR(A59="",$H$3=0),0,IF(ISERROR($H$3),0,ROUND(INDEX(MT_NP,1,職業等級)+(MAX(0,MT保額-3)*INDEX(MT_NP,2,職業等級)),0)))</f>
        <v>0</v>
      </c>
      <c r="I59" s="150">
        <f t="shared" si="5"/>
        <v>0</v>
      </c>
      <c r="J59" s="150">
        <f t="shared" si="6"/>
        <v>0</v>
      </c>
      <c r="K59" s="150">
        <f t="shared" si="17"/>
        <v>0</v>
      </c>
      <c r="L59" s="150"/>
      <c r="M59" s="150"/>
      <c r="N59" s="152"/>
      <c r="O59" s="146">
        <f ca="1">IF(OR(A59="",$O$3=0),0,
IF(AND(OR($O$2="ASGNLB1",$O$2="ASGNLB2"),$O$3&gt;30,$A59&gt;49),0,
IF(AND(照護有術顯示判斷=2,'試算表(16歲-65歲)'!A59&gt;=20,'試算表(16歲-65歲)'!A59&lt;=29),0,
VLOOKUP("P"&amp;REPT("0",2-LEN(商品年期))&amp;商品年期&amp;"S"&amp;"2"&amp;"A"&amp;REPT("0",2-LEN(A59))&amp;A59,INDIRECT(主約費率表),6,FALSE)*$O$3)))</f>
        <v>0</v>
      </c>
      <c r="P59" s="146">
        <f t="shared" si="8"/>
        <v>0</v>
      </c>
      <c r="Q59" s="146">
        <f t="shared" si="9"/>
        <v>0</v>
      </c>
      <c r="R59" s="146">
        <f t="shared" si="10"/>
        <v>0</v>
      </c>
      <c r="S59" s="146">
        <f t="shared" si="11"/>
        <v>0</v>
      </c>
      <c r="T59" s="146">
        <f t="shared" si="12"/>
        <v>0</v>
      </c>
      <c r="U59" s="146" cm="1">
        <f t="array" ref="U59">IF(OR(A59="",$U$3=0),0,IF(ISERROR($U$3),0,ROUND(INDEX(MT_NP,1,職業等級)+(MAX(0,MT保額-3)*INDEX(MT_NP,2,職業等級)),0)))</f>
        <v>0</v>
      </c>
      <c r="V59" s="146">
        <f t="shared" si="13"/>
        <v>0</v>
      </c>
      <c r="W59" s="146">
        <f t="shared" si="14"/>
        <v>0</v>
      </c>
      <c r="X59" s="146">
        <f t="shared" si="18"/>
        <v>0</v>
      </c>
      <c r="Y59" s="146"/>
      <c r="Z59" s="146"/>
      <c r="AA59" s="153"/>
    </row>
    <row r="60" spans="1:27">
      <c r="A60" s="149" t="str">
        <f t="shared" si="16"/>
        <v/>
      </c>
      <c r="B60" s="150">
        <f ca="1">IF(OR(A60="",$B$3=0),0,
IF(AND(OR($B$2="ASGNLB1",$B$2="ASGNLB2"),$B$3&gt;30,$A60&gt;49),0,
IF(AND(照護有術顯示判斷=2,'試算表(16歲-65歲)'!A60&gt;=20,'試算表(16歲-65歲)'!A60&lt;=29),0,
VLOOKUP("P"&amp;REPT("0",2-LEN(商品年期))&amp;商品年期&amp;"S"&amp;"1"&amp;"A"&amp;REPT("0",2-LEN(A60))&amp;A60,INDIRECT(主約費率表),6,FALSE)*$B$3)))</f>
        <v>0</v>
      </c>
      <c r="C60" s="150">
        <f t="shared" si="0"/>
        <v>0</v>
      </c>
      <c r="D60" s="150">
        <f t="shared" si="1"/>
        <v>0</v>
      </c>
      <c r="E60" s="150">
        <f t="shared" si="2"/>
        <v>0</v>
      </c>
      <c r="F60" s="150">
        <f t="shared" si="3"/>
        <v>0</v>
      </c>
      <c r="G60" s="151">
        <f t="shared" si="4"/>
        <v>0</v>
      </c>
      <c r="H60" s="151" cm="1">
        <f t="array" ref="H60">IF(OR(A60="",$H$3=0),0,IF(ISERROR($H$3),0,ROUND(INDEX(MT_NP,1,職業等級)+(MAX(0,MT保額-3)*INDEX(MT_NP,2,職業等級)),0)))</f>
        <v>0</v>
      </c>
      <c r="I60" s="150">
        <f t="shared" si="5"/>
        <v>0</v>
      </c>
      <c r="J60" s="150">
        <f t="shared" si="6"/>
        <v>0</v>
      </c>
      <c r="K60" s="150">
        <f t="shared" si="17"/>
        <v>0</v>
      </c>
      <c r="L60" s="150"/>
      <c r="M60" s="150"/>
      <c r="N60" s="152"/>
      <c r="O60" s="146">
        <f ca="1">IF(OR(A60="",$O$3=0),0,
IF(AND(OR($O$2="ASGNLB1",$O$2="ASGNLB2"),$O$3&gt;30,$A60&gt;49),0,
IF(AND(照護有術顯示判斷=2,'試算表(16歲-65歲)'!A60&gt;=20,'試算表(16歲-65歲)'!A60&lt;=29),0,
VLOOKUP("P"&amp;REPT("0",2-LEN(商品年期))&amp;商品年期&amp;"S"&amp;"2"&amp;"A"&amp;REPT("0",2-LEN(A60))&amp;A60,INDIRECT(主約費率表),6,FALSE)*$O$3)))</f>
        <v>0</v>
      </c>
      <c r="P60" s="146">
        <f t="shared" si="8"/>
        <v>0</v>
      </c>
      <c r="Q60" s="146">
        <f t="shared" si="9"/>
        <v>0</v>
      </c>
      <c r="R60" s="146">
        <f t="shared" si="10"/>
        <v>0</v>
      </c>
      <c r="S60" s="146">
        <f t="shared" si="11"/>
        <v>0</v>
      </c>
      <c r="T60" s="146">
        <f t="shared" si="12"/>
        <v>0</v>
      </c>
      <c r="U60" s="146" cm="1">
        <f t="array" ref="U60">IF(OR(A60="",$U$3=0),0,IF(ISERROR($U$3),0,ROUND(INDEX(MT_NP,1,職業等級)+(MAX(0,MT保額-3)*INDEX(MT_NP,2,職業等級)),0)))</f>
        <v>0</v>
      </c>
      <c r="V60" s="146">
        <f t="shared" si="13"/>
        <v>0</v>
      </c>
      <c r="W60" s="146">
        <f t="shared" si="14"/>
        <v>0</v>
      </c>
      <c r="X60" s="146">
        <f t="shared" si="18"/>
        <v>0</v>
      </c>
      <c r="Y60" s="146"/>
      <c r="Z60" s="146"/>
      <c r="AA60" s="153"/>
    </row>
    <row r="61" spans="1:27">
      <c r="A61" s="149" t="str">
        <f t="shared" si="16"/>
        <v/>
      </c>
      <c r="B61" s="150">
        <f ca="1">IF(OR(A61="",$B$3=0),0,
IF(AND(OR($B$2="ASGNLB1",$B$2="ASGNLB2"),$B$3&gt;30,$A61&gt;49),0,
IF(AND(照護有術顯示判斷=2,'試算表(16歲-65歲)'!A61&gt;=20,'試算表(16歲-65歲)'!A61&lt;=29),0,
VLOOKUP("P"&amp;REPT("0",2-LEN(商品年期))&amp;商品年期&amp;"S"&amp;"1"&amp;"A"&amp;REPT("0",2-LEN(A61))&amp;A61,INDIRECT(主約費率表),6,FALSE)*$B$3)))</f>
        <v>0</v>
      </c>
      <c r="C61" s="150">
        <f t="shared" si="0"/>
        <v>0</v>
      </c>
      <c r="D61" s="150">
        <f t="shared" si="1"/>
        <v>0</v>
      </c>
      <c r="E61" s="150">
        <f t="shared" si="2"/>
        <v>0</v>
      </c>
      <c r="F61" s="150">
        <f t="shared" si="3"/>
        <v>0</v>
      </c>
      <c r="G61" s="151">
        <f t="shared" si="4"/>
        <v>0</v>
      </c>
      <c r="H61" s="151" cm="1">
        <f t="array" ref="H61">IF(OR(A61="",$H$3=0),0,IF(ISERROR($H$3),0,ROUND(INDEX(MT_NP,1,職業等級)+(MAX(0,MT保額-3)*INDEX(MT_NP,2,職業等級)),0)))</f>
        <v>0</v>
      </c>
      <c r="I61" s="150">
        <f t="shared" si="5"/>
        <v>0</v>
      </c>
      <c r="J61" s="150">
        <f t="shared" si="6"/>
        <v>0</v>
      </c>
      <c r="K61" s="150">
        <f t="shared" si="17"/>
        <v>0</v>
      </c>
      <c r="L61" s="150"/>
      <c r="M61" s="150"/>
      <c r="N61" s="152"/>
      <c r="O61" s="146">
        <f ca="1">IF(OR(A61="",$O$3=0),0,
IF(AND(OR($O$2="ASGNLB1",$O$2="ASGNLB2"),$O$3&gt;30,$A61&gt;49),0,
IF(AND(照護有術顯示判斷=2,'試算表(16歲-65歲)'!A61&gt;=20,'試算表(16歲-65歲)'!A61&lt;=29),0,
VLOOKUP("P"&amp;REPT("0",2-LEN(商品年期))&amp;商品年期&amp;"S"&amp;"2"&amp;"A"&amp;REPT("0",2-LEN(A61))&amp;A61,INDIRECT(主約費率表),6,FALSE)*$O$3)))</f>
        <v>0</v>
      </c>
      <c r="P61" s="146">
        <f t="shared" si="8"/>
        <v>0</v>
      </c>
      <c r="Q61" s="146">
        <f t="shared" si="9"/>
        <v>0</v>
      </c>
      <c r="R61" s="146">
        <f t="shared" si="10"/>
        <v>0</v>
      </c>
      <c r="S61" s="146">
        <f t="shared" si="11"/>
        <v>0</v>
      </c>
      <c r="T61" s="146">
        <f t="shared" si="12"/>
        <v>0</v>
      </c>
      <c r="U61" s="146" cm="1">
        <f t="array" ref="U61">IF(OR(A61="",$U$3=0),0,IF(ISERROR($U$3),0,ROUND(INDEX(MT_NP,1,職業等級)+(MAX(0,MT保額-3)*INDEX(MT_NP,2,職業等級)),0)))</f>
        <v>0</v>
      </c>
      <c r="V61" s="146">
        <f t="shared" si="13"/>
        <v>0</v>
      </c>
      <c r="W61" s="146">
        <f t="shared" si="14"/>
        <v>0</v>
      </c>
      <c r="X61" s="146">
        <f t="shared" si="18"/>
        <v>0</v>
      </c>
      <c r="Y61" s="146"/>
      <c r="Z61" s="146"/>
      <c r="AA61" s="153"/>
    </row>
    <row r="62" spans="1:27">
      <c r="A62" s="149" t="str">
        <f t="shared" si="16"/>
        <v/>
      </c>
      <c r="B62" s="150">
        <f ca="1">IF(OR(A62="",$B$3=0),0,
IF(AND(OR($B$2="ASGNLB1",$B$2="ASGNLB2"),$B$3&gt;30,$A62&gt;49),0,
IF(AND(照護有術顯示判斷=2,'試算表(16歲-65歲)'!A62&gt;=20,'試算表(16歲-65歲)'!A62&lt;=29),0,
VLOOKUP("P"&amp;REPT("0",2-LEN(商品年期))&amp;商品年期&amp;"S"&amp;"1"&amp;"A"&amp;REPT("0",2-LEN(A62))&amp;A62,INDIRECT(主約費率表),6,FALSE)*$B$3)))</f>
        <v>0</v>
      </c>
      <c r="C62" s="150">
        <f t="shared" si="0"/>
        <v>0</v>
      </c>
      <c r="D62" s="150">
        <f t="shared" si="1"/>
        <v>0</v>
      </c>
      <c r="E62" s="150">
        <f t="shared" si="2"/>
        <v>0</v>
      </c>
      <c r="F62" s="150">
        <f t="shared" si="3"/>
        <v>0</v>
      </c>
      <c r="G62" s="151">
        <f t="shared" si="4"/>
        <v>0</v>
      </c>
      <c r="H62" s="151" cm="1">
        <f t="array" ref="H62">IF(OR(A62="",$H$3=0),0,IF(ISERROR($H$3),0,ROUND(INDEX(MT_NP,1,職業等級)+(MAX(0,MT保額-3)*INDEX(MT_NP,2,職業等級)),0)))</f>
        <v>0</v>
      </c>
      <c r="I62" s="150">
        <f t="shared" si="5"/>
        <v>0</v>
      </c>
      <c r="J62" s="150">
        <f t="shared" si="6"/>
        <v>0</v>
      </c>
      <c r="K62" s="150">
        <f t="shared" si="17"/>
        <v>0</v>
      </c>
      <c r="L62" s="150"/>
      <c r="M62" s="150"/>
      <c r="N62" s="152"/>
      <c r="O62" s="146">
        <f ca="1">IF(OR(A62="",$O$3=0),0,
IF(AND(OR($O$2="ASGNLB1",$O$2="ASGNLB2"),$O$3&gt;30,$A62&gt;49),0,
IF(AND(照護有術顯示判斷=2,'試算表(16歲-65歲)'!A62&gt;=20,'試算表(16歲-65歲)'!A62&lt;=29),0,
VLOOKUP("P"&amp;REPT("0",2-LEN(商品年期))&amp;商品年期&amp;"S"&amp;"2"&amp;"A"&amp;REPT("0",2-LEN(A62))&amp;A62,INDIRECT(主約費率表),6,FALSE)*$O$3)))</f>
        <v>0</v>
      </c>
      <c r="P62" s="146">
        <f t="shared" si="8"/>
        <v>0</v>
      </c>
      <c r="Q62" s="146">
        <f t="shared" si="9"/>
        <v>0</v>
      </c>
      <c r="R62" s="146">
        <f t="shared" si="10"/>
        <v>0</v>
      </c>
      <c r="S62" s="146">
        <f t="shared" si="11"/>
        <v>0</v>
      </c>
      <c r="T62" s="146">
        <f t="shared" si="12"/>
        <v>0</v>
      </c>
      <c r="U62" s="146" cm="1">
        <f t="array" ref="U62">IF(OR(A62="",$U$3=0),0,IF(ISERROR($U$3),0,ROUND(INDEX(MT_NP,1,職業等級)+(MAX(0,MT保額-3)*INDEX(MT_NP,2,職業等級)),0)))</f>
        <v>0</v>
      </c>
      <c r="V62" s="146">
        <f t="shared" si="13"/>
        <v>0</v>
      </c>
      <c r="W62" s="146">
        <f t="shared" si="14"/>
        <v>0</v>
      </c>
      <c r="X62" s="146">
        <f t="shared" si="18"/>
        <v>0</v>
      </c>
      <c r="Y62" s="146"/>
      <c r="Z62" s="146"/>
      <c r="AA62" s="153"/>
    </row>
    <row r="63" spans="1:27">
      <c r="A63" s="149" t="str">
        <f t="shared" si="16"/>
        <v/>
      </c>
      <c r="B63" s="150">
        <f ca="1">IF(OR(A63="",$B$3=0),0,
IF(AND(OR($B$2="ASGNLB1",$B$2="ASGNLB2"),$B$3&gt;30,$A63&gt;49),0,
IF(AND(照護有術顯示判斷=2,'試算表(16歲-65歲)'!A63&gt;=20,'試算表(16歲-65歲)'!A63&lt;=29),0,
VLOOKUP("P"&amp;REPT("0",2-LEN(商品年期))&amp;商品年期&amp;"S"&amp;"1"&amp;"A"&amp;REPT("0",2-LEN(A63))&amp;A63,INDIRECT(主約費率表),6,FALSE)*$B$3)))</f>
        <v>0</v>
      </c>
      <c r="C63" s="150">
        <f t="shared" si="0"/>
        <v>0</v>
      </c>
      <c r="D63" s="150">
        <f t="shared" si="1"/>
        <v>0</v>
      </c>
      <c r="E63" s="150">
        <f t="shared" si="2"/>
        <v>0</v>
      </c>
      <c r="F63" s="150">
        <f t="shared" si="3"/>
        <v>0</v>
      </c>
      <c r="G63" s="151">
        <f t="shared" si="4"/>
        <v>0</v>
      </c>
      <c r="H63" s="151" cm="1">
        <f t="array" ref="H63">IF(OR(A63="",$H$3=0),0,IF(ISERROR($H$3),0,ROUND(INDEX(MT_NP,1,職業等級)+(MAX(0,MT保額-3)*INDEX(MT_NP,2,職業等級)),0)))</f>
        <v>0</v>
      </c>
      <c r="I63" s="150">
        <f t="shared" si="5"/>
        <v>0</v>
      </c>
      <c r="J63" s="150">
        <f t="shared" si="6"/>
        <v>0</v>
      </c>
      <c r="K63" s="150">
        <f t="shared" si="17"/>
        <v>0</v>
      </c>
      <c r="L63" s="150"/>
      <c r="M63" s="150"/>
      <c r="N63" s="152"/>
      <c r="O63" s="146">
        <f ca="1">IF(OR(A63="",$O$3=0),0,
IF(AND(OR($O$2="ASGNLB1",$O$2="ASGNLB2"),$O$3&gt;30,$A63&gt;49),0,
IF(AND(照護有術顯示判斷=2,'試算表(16歲-65歲)'!A63&gt;=20,'試算表(16歲-65歲)'!A63&lt;=29),0,
VLOOKUP("P"&amp;REPT("0",2-LEN(商品年期))&amp;商品年期&amp;"S"&amp;"2"&amp;"A"&amp;REPT("0",2-LEN(A63))&amp;A63,INDIRECT(主約費率表),6,FALSE)*$O$3)))</f>
        <v>0</v>
      </c>
      <c r="P63" s="146">
        <f t="shared" si="8"/>
        <v>0</v>
      </c>
      <c r="Q63" s="146">
        <f t="shared" si="9"/>
        <v>0</v>
      </c>
      <c r="R63" s="146">
        <f t="shared" si="10"/>
        <v>0</v>
      </c>
      <c r="S63" s="146">
        <f t="shared" si="11"/>
        <v>0</v>
      </c>
      <c r="T63" s="146">
        <f t="shared" si="12"/>
        <v>0</v>
      </c>
      <c r="U63" s="146" cm="1">
        <f t="array" ref="U63">IF(OR(A63="",$U$3=0),0,IF(ISERROR($U$3),0,ROUND(INDEX(MT_NP,1,職業等級)+(MAX(0,MT保額-3)*INDEX(MT_NP,2,職業等級)),0)))</f>
        <v>0</v>
      </c>
      <c r="V63" s="146">
        <f t="shared" si="13"/>
        <v>0</v>
      </c>
      <c r="W63" s="146">
        <f t="shared" si="14"/>
        <v>0</v>
      </c>
      <c r="X63" s="146">
        <f t="shared" si="18"/>
        <v>0</v>
      </c>
      <c r="Y63" s="146"/>
      <c r="Z63" s="146"/>
      <c r="AA63" s="153"/>
    </row>
    <row r="64" spans="1:27">
      <c r="A64" s="149" t="str">
        <f t="shared" si="16"/>
        <v/>
      </c>
      <c r="B64" s="150">
        <f ca="1">IF(OR(A64="",$B$3=0),0,
IF(AND(OR($B$2="ASGNLB1",$B$2="ASGNLB2"),$B$3&gt;30,$A64&gt;49),0,
IF(AND(照護有術顯示判斷=2,'試算表(16歲-65歲)'!A64&gt;=20,'試算表(16歲-65歲)'!A64&lt;=29),0,
VLOOKUP("P"&amp;REPT("0",2-LEN(商品年期))&amp;商品年期&amp;"S"&amp;"1"&amp;"A"&amp;REPT("0",2-LEN(A64))&amp;A64,INDIRECT(主約費率表),6,FALSE)*$B$3)))</f>
        <v>0</v>
      </c>
      <c r="C64" s="150">
        <f t="shared" si="0"/>
        <v>0</v>
      </c>
      <c r="D64" s="150">
        <f t="shared" si="1"/>
        <v>0</v>
      </c>
      <c r="E64" s="150">
        <f t="shared" si="2"/>
        <v>0</v>
      </c>
      <c r="F64" s="150">
        <f t="shared" si="3"/>
        <v>0</v>
      </c>
      <c r="G64" s="151">
        <f t="shared" si="4"/>
        <v>0</v>
      </c>
      <c r="H64" s="151" cm="1">
        <f t="array" ref="H64">IF(OR(A64="",$H$3=0),0,IF(ISERROR($H$3),0,ROUND(INDEX(MT_NP,1,職業等級)+(MAX(0,MT保額-3)*INDEX(MT_NP,2,職業等級)),0)))</f>
        <v>0</v>
      </c>
      <c r="I64" s="150">
        <f t="shared" si="5"/>
        <v>0</v>
      </c>
      <c r="J64" s="150">
        <f t="shared" si="6"/>
        <v>0</v>
      </c>
      <c r="K64" s="150">
        <f t="shared" si="17"/>
        <v>0</v>
      </c>
      <c r="L64" s="150"/>
      <c r="M64" s="150"/>
      <c r="N64" s="152"/>
      <c r="O64" s="146">
        <f ca="1">IF(OR(A64="",$O$3=0),0,
IF(AND(OR($O$2="ASGNLB1",$O$2="ASGNLB2"),$O$3&gt;30,$A64&gt;49),0,
IF(AND(照護有術顯示判斷=2,'試算表(16歲-65歲)'!A64&gt;=20,'試算表(16歲-65歲)'!A64&lt;=29),0,
VLOOKUP("P"&amp;REPT("0",2-LEN(商品年期))&amp;商品年期&amp;"S"&amp;"2"&amp;"A"&amp;REPT("0",2-LEN(A64))&amp;A64,INDIRECT(主約費率表),6,FALSE)*$O$3)))</f>
        <v>0</v>
      </c>
      <c r="P64" s="146">
        <f t="shared" si="8"/>
        <v>0</v>
      </c>
      <c r="Q64" s="146">
        <f t="shared" si="9"/>
        <v>0</v>
      </c>
      <c r="R64" s="146">
        <f t="shared" si="10"/>
        <v>0</v>
      </c>
      <c r="S64" s="146">
        <f t="shared" si="11"/>
        <v>0</v>
      </c>
      <c r="T64" s="146">
        <f t="shared" si="12"/>
        <v>0</v>
      </c>
      <c r="U64" s="146" cm="1">
        <f t="array" ref="U64">IF(OR(A64="",$U$3=0),0,IF(ISERROR($U$3),0,ROUND(INDEX(MT_NP,1,職業等級)+(MAX(0,MT保額-3)*INDEX(MT_NP,2,職業等級)),0)))</f>
        <v>0</v>
      </c>
      <c r="V64" s="146">
        <f t="shared" si="13"/>
        <v>0</v>
      </c>
      <c r="W64" s="146">
        <f t="shared" si="14"/>
        <v>0</v>
      </c>
      <c r="X64" s="146">
        <f t="shared" si="18"/>
        <v>0</v>
      </c>
      <c r="Y64" s="146"/>
      <c r="Z64" s="146"/>
      <c r="AA64" s="153"/>
    </row>
    <row r="65" spans="1:27">
      <c r="A65" s="149" t="str">
        <f t="shared" si="16"/>
        <v/>
      </c>
      <c r="B65" s="150">
        <f ca="1">IF(OR(A65="",$B$3=0),0,
IF(AND(OR($B$2="ASGNLB1",$B$2="ASGNLB2"),$B$3&gt;30,$A65&gt;49),0,
IF(AND(照護有術顯示判斷=2,'試算表(16歲-65歲)'!A65&gt;=20,'試算表(16歲-65歲)'!A65&lt;=29),0,
VLOOKUP("P"&amp;REPT("0",2-LEN(商品年期))&amp;商品年期&amp;"S"&amp;"1"&amp;"A"&amp;REPT("0",2-LEN(A65))&amp;A65,INDIRECT(主約費率表),6,FALSE)*$B$3)))</f>
        <v>0</v>
      </c>
      <c r="C65" s="150">
        <f t="shared" si="0"/>
        <v>0</v>
      </c>
      <c r="D65" s="150">
        <f t="shared" si="1"/>
        <v>0</v>
      </c>
      <c r="E65" s="150">
        <f t="shared" si="2"/>
        <v>0</v>
      </c>
      <c r="F65" s="150">
        <f t="shared" si="3"/>
        <v>0</v>
      </c>
      <c r="G65" s="151">
        <f t="shared" si="4"/>
        <v>0</v>
      </c>
      <c r="H65" s="151" cm="1">
        <f t="array" ref="H65">IF(OR(A65="",$H$3=0),0,IF(ISERROR($H$3),0,ROUND(INDEX(MT_NP,1,職業等級)+(MAX(0,MT保額-3)*INDEX(MT_NP,2,職業等級)),0)))</f>
        <v>0</v>
      </c>
      <c r="I65" s="150">
        <f t="shared" si="5"/>
        <v>0</v>
      </c>
      <c r="J65" s="150">
        <f t="shared" si="6"/>
        <v>0</v>
      </c>
      <c r="K65" s="150">
        <f t="shared" si="17"/>
        <v>0</v>
      </c>
      <c r="L65" s="150"/>
      <c r="M65" s="150"/>
      <c r="N65" s="152"/>
      <c r="O65" s="146">
        <f ca="1">IF(OR(A65="",$O$3=0),0,
IF(AND(OR($O$2="ASGNLB1",$O$2="ASGNLB2"),$O$3&gt;30,$A65&gt;49),0,
IF(AND(照護有術顯示判斷=2,'試算表(16歲-65歲)'!A65&gt;=20,'試算表(16歲-65歲)'!A65&lt;=29),0,
VLOOKUP("P"&amp;REPT("0",2-LEN(商品年期))&amp;商品年期&amp;"S"&amp;"2"&amp;"A"&amp;REPT("0",2-LEN(A65))&amp;A65,INDIRECT(主約費率表),6,FALSE)*$O$3)))</f>
        <v>0</v>
      </c>
      <c r="P65" s="146">
        <f t="shared" si="8"/>
        <v>0</v>
      </c>
      <c r="Q65" s="146">
        <f t="shared" si="9"/>
        <v>0</v>
      </c>
      <c r="R65" s="146">
        <f t="shared" si="10"/>
        <v>0</v>
      </c>
      <c r="S65" s="146">
        <f t="shared" si="11"/>
        <v>0</v>
      </c>
      <c r="T65" s="146">
        <f t="shared" si="12"/>
        <v>0</v>
      </c>
      <c r="U65" s="146" cm="1">
        <f t="array" ref="U65">IF(OR(A65="",$U$3=0),0,IF(ISERROR($U$3),0,ROUND(INDEX(MT_NP,1,職業等級)+(MAX(0,MT保額-3)*INDEX(MT_NP,2,職業等級)),0)))</f>
        <v>0</v>
      </c>
      <c r="V65" s="146">
        <f t="shared" si="13"/>
        <v>0</v>
      </c>
      <c r="W65" s="146">
        <f t="shared" si="14"/>
        <v>0</v>
      </c>
      <c r="X65" s="146">
        <f t="shared" si="18"/>
        <v>0</v>
      </c>
      <c r="Y65" s="146"/>
      <c r="Z65" s="146"/>
      <c r="AA65" s="153"/>
    </row>
    <row r="66" spans="1:27">
      <c r="A66" s="149" t="str">
        <f t="shared" si="16"/>
        <v/>
      </c>
      <c r="B66" s="150">
        <f ca="1">IF(OR(A66="",$B$3=0),0,
IF(AND(OR($B$2="ASGNLB1",$B$2="ASGNLB2"),$B$3&gt;30,$A66&gt;49),0,
IF(AND(照護有術顯示判斷=2,'試算表(16歲-65歲)'!A66&gt;=20,'試算表(16歲-65歲)'!A66&lt;=29),0,
VLOOKUP("P"&amp;REPT("0",2-LEN(商品年期))&amp;商品年期&amp;"S"&amp;"1"&amp;"A"&amp;REPT("0",2-LEN(A66))&amp;A66,INDIRECT(主約費率表),6,FALSE)*$B$3)))</f>
        <v>0</v>
      </c>
      <c r="C66" s="150">
        <f t="shared" si="0"/>
        <v>0</v>
      </c>
      <c r="D66" s="150">
        <f t="shared" si="1"/>
        <v>0</v>
      </c>
      <c r="E66" s="150">
        <f t="shared" si="2"/>
        <v>0</v>
      </c>
      <c r="F66" s="150">
        <f t="shared" si="3"/>
        <v>0</v>
      </c>
      <c r="G66" s="151">
        <f t="shared" si="4"/>
        <v>0</v>
      </c>
      <c r="H66" s="151" cm="1">
        <f t="array" ref="H66">IF(OR(A66="",$H$3=0),0,IF(ISERROR($H$3),0,ROUND(INDEX(MT_NP,1,職業等級)+(MAX(0,MT保額-3)*INDEX(MT_NP,2,職業等級)),0)))</f>
        <v>0</v>
      </c>
      <c r="I66" s="150">
        <f t="shared" si="5"/>
        <v>0</v>
      </c>
      <c r="J66" s="150">
        <f t="shared" si="6"/>
        <v>0</v>
      </c>
      <c r="K66" s="150">
        <f t="shared" si="17"/>
        <v>0</v>
      </c>
      <c r="L66" s="150"/>
      <c r="M66" s="150"/>
      <c r="N66" s="152"/>
      <c r="O66" s="146">
        <f ca="1">IF(OR(A66="",$O$3=0),0,
IF(AND(OR($O$2="ASGNLB1",$O$2="ASGNLB2"),$O$3&gt;30,$A66&gt;49),0,
IF(AND(照護有術顯示判斷=2,'試算表(16歲-65歲)'!A66&gt;=20,'試算表(16歲-65歲)'!A66&lt;=29),0,
VLOOKUP("P"&amp;REPT("0",2-LEN(商品年期))&amp;商品年期&amp;"S"&amp;"2"&amp;"A"&amp;REPT("0",2-LEN(A66))&amp;A66,INDIRECT(主約費率表),6,FALSE)*$O$3)))</f>
        <v>0</v>
      </c>
      <c r="P66" s="146">
        <f t="shared" si="8"/>
        <v>0</v>
      </c>
      <c r="Q66" s="146">
        <f t="shared" si="9"/>
        <v>0</v>
      </c>
      <c r="R66" s="146">
        <f t="shared" si="10"/>
        <v>0</v>
      </c>
      <c r="S66" s="146">
        <f t="shared" si="11"/>
        <v>0</v>
      </c>
      <c r="T66" s="146">
        <f t="shared" si="12"/>
        <v>0</v>
      </c>
      <c r="U66" s="146" cm="1">
        <f t="array" ref="U66">IF(OR(A66="",$U$3=0),0,IF(ISERROR($U$3),0,ROUND(INDEX(MT_NP,1,職業等級)+(MAX(0,MT保額-3)*INDEX(MT_NP,2,職業等級)),0)))</f>
        <v>0</v>
      </c>
      <c r="V66" s="146">
        <f t="shared" si="13"/>
        <v>0</v>
      </c>
      <c r="W66" s="146">
        <f t="shared" si="14"/>
        <v>0</v>
      </c>
      <c r="X66" s="146">
        <f t="shared" si="18"/>
        <v>0</v>
      </c>
      <c r="Y66" s="146"/>
      <c r="Z66" s="146"/>
      <c r="AA66" s="153"/>
    </row>
    <row r="67" spans="1:27">
      <c r="A67" s="149" t="str">
        <f t="shared" si="16"/>
        <v/>
      </c>
      <c r="B67" s="150">
        <f ca="1">IF(OR(A67="",$B$3=0),0,
IF(AND(OR($B$2="ASGNLB1",$B$2="ASGNLB2"),$B$3&gt;30,$A67&gt;49),0,
IF(AND(照護有術顯示判斷=2,'試算表(16歲-65歲)'!A67&gt;=20,'試算表(16歲-65歲)'!A67&lt;=29),0,
VLOOKUP("P"&amp;REPT("0",2-LEN(商品年期))&amp;商品年期&amp;"S"&amp;"1"&amp;"A"&amp;REPT("0",2-LEN(A67))&amp;A67,INDIRECT(主約費率表),6,FALSE)*$B$3)))</f>
        <v>0</v>
      </c>
      <c r="C67" s="150">
        <f t="shared" si="0"/>
        <v>0</v>
      </c>
      <c r="D67" s="150">
        <f t="shared" si="1"/>
        <v>0</v>
      </c>
      <c r="E67" s="150">
        <f t="shared" si="2"/>
        <v>0</v>
      </c>
      <c r="F67" s="150">
        <f t="shared" si="3"/>
        <v>0</v>
      </c>
      <c r="G67" s="151">
        <f t="shared" si="4"/>
        <v>0</v>
      </c>
      <c r="H67" s="151" cm="1">
        <f t="array" ref="H67">IF(OR(A67="",$H$3=0),0,IF(ISERROR($H$3),0,ROUND(INDEX(MT_NP,1,職業等級)+(MAX(0,MT保額-3)*INDEX(MT_NP,2,職業等級)),0)))</f>
        <v>0</v>
      </c>
      <c r="I67" s="150">
        <f t="shared" si="5"/>
        <v>0</v>
      </c>
      <c r="J67" s="150">
        <f t="shared" si="6"/>
        <v>0</v>
      </c>
      <c r="K67" s="150">
        <f t="shared" si="17"/>
        <v>0</v>
      </c>
      <c r="L67" s="150"/>
      <c r="M67" s="150"/>
      <c r="N67" s="152"/>
      <c r="O67" s="146">
        <f ca="1">IF(OR(A67="",$O$3=0),0,
IF(AND(OR($O$2="ASGNLB1",$O$2="ASGNLB2"),$O$3&gt;30,$A67&gt;49),0,
IF(AND(照護有術顯示判斷=2,'試算表(16歲-65歲)'!A67&gt;=20,'試算表(16歲-65歲)'!A67&lt;=29),0,
VLOOKUP("P"&amp;REPT("0",2-LEN(商品年期))&amp;商品年期&amp;"S"&amp;"2"&amp;"A"&amp;REPT("0",2-LEN(A67))&amp;A67,INDIRECT(主約費率表),6,FALSE)*$O$3)))</f>
        <v>0</v>
      </c>
      <c r="P67" s="146">
        <f t="shared" si="8"/>
        <v>0</v>
      </c>
      <c r="Q67" s="146">
        <f t="shared" si="9"/>
        <v>0</v>
      </c>
      <c r="R67" s="146">
        <f t="shared" si="10"/>
        <v>0</v>
      </c>
      <c r="S67" s="146">
        <f t="shared" si="11"/>
        <v>0</v>
      </c>
      <c r="T67" s="146">
        <f t="shared" si="12"/>
        <v>0</v>
      </c>
      <c r="U67" s="146" cm="1">
        <f t="array" ref="U67">IF(OR(A67="",$U$3=0),0,IF(ISERROR($U$3),0,ROUND(INDEX(MT_NP,1,職業等級)+(MAX(0,MT保額-3)*INDEX(MT_NP,2,職業等級)),0)))</f>
        <v>0</v>
      </c>
      <c r="V67" s="146">
        <f t="shared" si="13"/>
        <v>0</v>
      </c>
      <c r="W67" s="146">
        <f t="shared" si="14"/>
        <v>0</v>
      </c>
      <c r="X67" s="146">
        <f t="shared" si="18"/>
        <v>0</v>
      </c>
      <c r="Y67" s="146"/>
      <c r="Z67" s="146"/>
      <c r="AA67" s="153"/>
    </row>
    <row r="68" spans="1:27">
      <c r="A68" s="149" t="str">
        <f t="shared" si="16"/>
        <v/>
      </c>
      <c r="B68" s="150">
        <f ca="1">IF(OR(A68="",$B$3=0),0,
IF(AND(OR($B$2="ASGNLB1",$B$2="ASGNLB2"),$B$3&gt;30,$A68&gt;49),0,
IF(AND(照護有術顯示判斷=2,'試算表(16歲-65歲)'!A68&gt;=20,'試算表(16歲-65歲)'!A68&lt;=29),0,
VLOOKUP("P"&amp;REPT("0",2-LEN(商品年期))&amp;商品年期&amp;"S"&amp;"1"&amp;"A"&amp;REPT("0",2-LEN(A68))&amp;A68,INDIRECT(主約費率表),6,FALSE)*$B$3)))</f>
        <v>0</v>
      </c>
      <c r="C68" s="150">
        <f t="shared" ref="C68:C90" si="19">IF(OR(A68="",$C$3=0),0,IF(ISERROR($C$3),0,ROUND($C$3*VLOOKUP("P"&amp;REPT("0",2-LEN(BNLTRN1繳費年期))&amp;BNLTRN1繳費年期&amp;"S"&amp;"1"&amp;"A"&amp;REPT("0",2-LEN(A68))&amp;A68,BNLTRN1_NP,6,FALSE),0)))</f>
        <v>0</v>
      </c>
      <c r="D68" s="150">
        <f t="shared" ref="D68:D90" si="20">IF(OR(A68="",$D$3=0),0,IF(ISERROR($D$3),0,ROUND($D$3*VLOOKUP(""&amp;A68,ADDNTR1_NP,2,FALSE),0)))</f>
        <v>0</v>
      </c>
      <c r="E68" s="150">
        <f t="shared" ref="E68:E90" si="21">IF(OR(A68="",$E$3=0),0,IF(ISERROR($E$3),0,ROUND(VLOOKUP("P"&amp;AMRNTR1計劃&amp;"S"&amp;"1"&amp;"A"&amp;REPT("0",2-LEN(A68))&amp;A68,AMRNTR1_NP,6,FALSE),0)))</f>
        <v>0</v>
      </c>
      <c r="F68" s="150">
        <f t="shared" ref="F68:F90" si="22">IF(OR(A68="",$F$3=0),0,IF(ISERROR($F$3),0,ROUND($F$3*VLOOKUP(IF(A68&lt;15,1,IF(A68=15,2,3)),DPAA_NP,2+職業等級,FALSE),0)))</f>
        <v>0</v>
      </c>
      <c r="G68" s="151">
        <f t="shared" ref="G68:G90" si="23">IF(OR(A68="",$G$3=0),0,IF(ISERROR($G$3),0,ROUND(VLOOKUP("ML-"&amp;ML計劃,ML_NP,1+職業等級,FALSE),0)))</f>
        <v>0</v>
      </c>
      <c r="H68" s="151" cm="1">
        <f t="array" ref="H68">IF(OR(A68="",$H$3=0),0,IF(ISERROR($H$3),0,ROUND(INDEX(MT_NP,1,職業等級)+(MAX(0,MT保額-3)*INDEX(MT_NP,2,職業等級)),0)))</f>
        <v>0</v>
      </c>
      <c r="I68" s="150">
        <f t="shared" ref="I68:I90" si="24">IF(OR(A68="",$I$3=0),0,IF(ISERROR($I$3),0,ROUND($I$3*IF(ISERROR(VLOOKUP("P10"&amp;"S"&amp;"1"&amp;"A"&amp;REPT("0",2-LEN(A68))&amp;A68,ACCNTR1_NP,5,FALSE)),0,VLOOKUP("P10"&amp;"S"&amp;"1"&amp;"A"&amp;REPT("0",2-LEN(A68))&amp;A68,ACCNTR1_NP,5,FALSE)),0)))</f>
        <v>0</v>
      </c>
      <c r="J68" s="150">
        <f t="shared" ref="J68:J90" si="25">IF(OR(A68="",$J$3=0),0,IF(ISERROR($J$3),0,ROUND($J$3*VLOOKUP("P01"&amp;"S"&amp;"1"&amp;"A"&amp;REPT("0",2-LEN(A68))&amp;A68,ACCNTR2_NP,5,FALSE),0)))</f>
        <v>0</v>
      </c>
      <c r="K68" s="150">
        <f t="shared" ref="K68:K90" si="26">IF(OR(A68="",$K$3=0),0,IF(ISERROR($K$3),0,ROUND($K$3*VLOOKUP("P01"&amp;"S"&amp;"1"&amp;"A"&amp;REPT("0",2-LEN(A68))&amp;A68,ACCNTR3_NP,5,FALSE),0)))</f>
        <v>0</v>
      </c>
      <c r="L68" s="150"/>
      <c r="M68" s="150"/>
      <c r="N68" s="152"/>
      <c r="O68" s="146">
        <f ca="1">IF(OR(A68="",$O$3=0),0,
IF(AND(OR($O$2="ASGNLB1",$O$2="ASGNLB2"),$O$3&gt;30,$A68&gt;49),0,
IF(AND(照護有術顯示判斷=2,'試算表(16歲-65歲)'!A68&gt;=20,'試算表(16歲-65歲)'!A68&lt;=29),0,
VLOOKUP("P"&amp;REPT("0",2-LEN(商品年期))&amp;商品年期&amp;"S"&amp;"2"&amp;"A"&amp;REPT("0",2-LEN(A68))&amp;A68,INDIRECT(主約費率表),6,FALSE)*$O$3)))</f>
        <v>0</v>
      </c>
      <c r="P68" s="146">
        <f t="shared" ref="P68:P90" si="27">IF(OR(A68="",$P$3=0),0,IF(ISERROR($P$3),0,ROUND($P$3*VLOOKUP("P"&amp;REPT("0",2-LEN(BNLTRN1繳費年期))&amp;BNLTRN1繳費年期&amp;"S"&amp;"2"&amp;"A"&amp;REPT("0",2-LEN(A68))&amp;A68,BNLTRN1_NP,6,FALSE),0)))</f>
        <v>0</v>
      </c>
      <c r="Q68" s="146">
        <f t="shared" ref="Q68:Q90" si="28">IF(OR(A68="",$Q$3=0),0,IF(ISERROR($Q$3),0,ROUND($Q$3*VLOOKUP(""&amp;A68,ADDNTR1_NP,3,FALSE),0)))</f>
        <v>0</v>
      </c>
      <c r="R68" s="146">
        <f t="shared" ref="R68:R90" si="29">IF(OR(A68="",$R$3=0),0,IF(ISERROR($R$3),0,ROUND(VLOOKUP("P"&amp;AMRNTR1計劃&amp;"S"&amp;"2"&amp;"A"&amp;REPT("0",2-LEN(A68))&amp;A68,AMRNTR1_NP,6,FALSE),0)))</f>
        <v>0</v>
      </c>
      <c r="S68" s="146">
        <f t="shared" ref="S68:S90" si="30">IF(OR(A68="",$S$3=0),0,IF(ISERROR($S$3),0,ROUND($S$3*VLOOKUP(IF(A68&lt;15,1,IF(A68=15,2,3)),DPAA_NP,2+職業等級,FALSE),0)))</f>
        <v>0</v>
      </c>
      <c r="T68" s="146">
        <f t="shared" ref="T68:T90" si="31">IF(OR(A68="",$T$3=0),0,IF(ISERROR($T$3),0,ROUND(VLOOKUP("ML-"&amp;ML計劃,ML_NP,1+職業等級,FALSE),0)))</f>
        <v>0</v>
      </c>
      <c r="U68" s="146" cm="1">
        <f t="array" ref="U68">IF(OR(A68="",$U$3=0),0,IF(ISERROR($U$3),0,ROUND(INDEX(MT_NP,1,職業等級)+(MAX(0,MT保額-3)*INDEX(MT_NP,2,職業等級)),0)))</f>
        <v>0</v>
      </c>
      <c r="V68" s="146">
        <f t="shared" ref="V68:V90" si="32">IF(OR(A68="",$V$3=0),0,IF(ISERROR($V$3),0,ROUND($V$3*IF(ISERROR(VLOOKUP("P10"&amp;"S"&amp;"2"&amp;"A"&amp;REPT("0",2-LEN(A68))&amp;A68,ACCNTR1_NP,5,FALSE)),0,VLOOKUP("P10"&amp;"S"&amp;"2"&amp;"A"&amp;REPT("0",2-LEN(A68))&amp;A68,ACCNTR1_NP,5,FALSE)),0)))</f>
        <v>0</v>
      </c>
      <c r="W68" s="146">
        <f t="shared" ref="W68:W90" si="33">IF(OR(A68="",$W$3=0),0,IF(ISERROR($W$3),0,ROUND($W$3*VLOOKUP("P01"&amp;"S"&amp;"2"&amp;"A"&amp;REPT("0",2-LEN(A68))&amp;A68,ACCNTR2_NP,5,FALSE),0)))</f>
        <v>0</v>
      </c>
      <c r="X68" s="146">
        <f t="shared" ref="X68:X90" si="34">IF(OR(A68="",$X$3=0),0,IF(ISERROR($X$3),0,ROUND($X$3*VLOOKUP("P01"&amp;"S"&amp;"2"&amp;"A"&amp;REPT("0",2-LEN(A68))&amp;A68,ACCNTR3_NP,5,FALSE),0)))</f>
        <v>0</v>
      </c>
      <c r="Y68" s="146"/>
      <c r="Z68" s="146"/>
      <c r="AA68" s="153"/>
    </row>
    <row r="69" spans="1:27">
      <c r="A69" s="149" t="str">
        <f t="shared" ref="A69:A90" si="35">IF(A68="","",IF(A68+1&gt;分齡表最大顯示年齡,"",A68+1))</f>
        <v/>
      </c>
      <c r="B69" s="150">
        <f ca="1">IF(OR(A69="",$B$3=0),0,
IF(AND(OR($B$2="ASGNLB1",$B$2="ASGNLB2"),$B$3&gt;30,$A69&gt;49),0,
IF(AND(照護有術顯示判斷=2,'試算表(16歲-65歲)'!A69&gt;=20,'試算表(16歲-65歲)'!A69&lt;=29),0,
VLOOKUP("P"&amp;REPT("0",2-LEN(商品年期))&amp;商品年期&amp;"S"&amp;"1"&amp;"A"&amp;REPT("0",2-LEN(A69))&amp;A69,INDIRECT(主約費率表),6,FALSE)*$B$3)))</f>
        <v>0</v>
      </c>
      <c r="C69" s="150">
        <f t="shared" si="19"/>
        <v>0</v>
      </c>
      <c r="D69" s="150">
        <f t="shared" si="20"/>
        <v>0</v>
      </c>
      <c r="E69" s="150">
        <f t="shared" si="21"/>
        <v>0</v>
      </c>
      <c r="F69" s="150">
        <f t="shared" si="22"/>
        <v>0</v>
      </c>
      <c r="G69" s="151">
        <f t="shared" si="23"/>
        <v>0</v>
      </c>
      <c r="H69" s="151" cm="1">
        <f t="array" ref="H69">IF(OR(A69="",$H$3=0),0,IF(ISERROR($H$3),0,ROUND(INDEX(MT_NP,1,職業等級)+(MAX(0,MT保額-3)*INDEX(MT_NP,2,職業等級)),0)))</f>
        <v>0</v>
      </c>
      <c r="I69" s="150">
        <f t="shared" si="24"/>
        <v>0</v>
      </c>
      <c r="J69" s="150">
        <f t="shared" si="25"/>
        <v>0</v>
      </c>
      <c r="K69" s="150">
        <f t="shared" si="26"/>
        <v>0</v>
      </c>
      <c r="L69" s="150"/>
      <c r="M69" s="150"/>
      <c r="N69" s="152"/>
      <c r="O69" s="146">
        <f ca="1">IF(OR(A69="",$O$3=0),0,
IF(AND(OR($O$2="ASGNLB1",$O$2="ASGNLB2"),$O$3&gt;30,$A69&gt;49),0,
IF(AND(照護有術顯示判斷=2,'試算表(16歲-65歲)'!A69&gt;=20,'試算表(16歲-65歲)'!A69&lt;=29),0,
VLOOKUP("P"&amp;REPT("0",2-LEN(商品年期))&amp;商品年期&amp;"S"&amp;"2"&amp;"A"&amp;REPT("0",2-LEN(A69))&amp;A69,INDIRECT(主約費率表),6,FALSE)*$O$3)))</f>
        <v>0</v>
      </c>
      <c r="P69" s="146">
        <f t="shared" si="27"/>
        <v>0</v>
      </c>
      <c r="Q69" s="146">
        <f t="shared" si="28"/>
        <v>0</v>
      </c>
      <c r="R69" s="146">
        <f t="shared" si="29"/>
        <v>0</v>
      </c>
      <c r="S69" s="146">
        <f t="shared" si="30"/>
        <v>0</v>
      </c>
      <c r="T69" s="146">
        <f t="shared" si="31"/>
        <v>0</v>
      </c>
      <c r="U69" s="146" cm="1">
        <f t="array" ref="U69">IF(OR(A69="",$U$3=0),0,IF(ISERROR($U$3),0,ROUND(INDEX(MT_NP,1,職業等級)+(MAX(0,MT保額-3)*INDEX(MT_NP,2,職業等級)),0)))</f>
        <v>0</v>
      </c>
      <c r="V69" s="146">
        <f t="shared" si="32"/>
        <v>0</v>
      </c>
      <c r="W69" s="146">
        <f t="shared" si="33"/>
        <v>0</v>
      </c>
      <c r="X69" s="146">
        <f t="shared" si="34"/>
        <v>0</v>
      </c>
      <c r="Y69" s="146"/>
      <c r="Z69" s="146"/>
      <c r="AA69" s="153"/>
    </row>
    <row r="70" spans="1:27">
      <c r="A70" s="149" t="str">
        <f t="shared" si="35"/>
        <v/>
      </c>
      <c r="B70" s="150">
        <f ca="1">IF(OR(A70="",$B$3=0),0,
IF(AND(OR($B$2="ASGNLB1",$B$2="ASGNLB2"),$B$3&gt;30,$A70&gt;49),0,
IF(AND(照護有術顯示判斷=2,'試算表(16歲-65歲)'!A70&gt;=20,'試算表(16歲-65歲)'!A70&lt;=29),0,
VLOOKUP("P"&amp;REPT("0",2-LEN(商品年期))&amp;商品年期&amp;"S"&amp;"1"&amp;"A"&amp;REPT("0",2-LEN(A70))&amp;A70,INDIRECT(主約費率表),6,FALSE)*$B$3)))</f>
        <v>0</v>
      </c>
      <c r="C70" s="150">
        <f t="shared" si="19"/>
        <v>0</v>
      </c>
      <c r="D70" s="150">
        <f t="shared" si="20"/>
        <v>0</v>
      </c>
      <c r="E70" s="150">
        <f t="shared" si="21"/>
        <v>0</v>
      </c>
      <c r="F70" s="150">
        <f t="shared" si="22"/>
        <v>0</v>
      </c>
      <c r="G70" s="151">
        <f t="shared" si="23"/>
        <v>0</v>
      </c>
      <c r="H70" s="151" cm="1">
        <f t="array" ref="H70">IF(OR(A70="",$H$3=0),0,IF(ISERROR($H$3),0,ROUND(INDEX(MT_NP,1,職業等級)+(MAX(0,MT保額-3)*INDEX(MT_NP,2,職業等級)),0)))</f>
        <v>0</v>
      </c>
      <c r="I70" s="150">
        <f t="shared" si="24"/>
        <v>0</v>
      </c>
      <c r="J70" s="150">
        <f t="shared" si="25"/>
        <v>0</v>
      </c>
      <c r="K70" s="150">
        <f t="shared" si="26"/>
        <v>0</v>
      </c>
      <c r="L70" s="150"/>
      <c r="M70" s="150"/>
      <c r="N70" s="152"/>
      <c r="O70" s="146">
        <f ca="1">IF(OR(A70="",$O$3=0),0,
IF(AND(OR($O$2="ASGNLB1",$O$2="ASGNLB2"),$O$3&gt;30,$A70&gt;49),0,
IF(AND(照護有術顯示判斷=2,'試算表(16歲-65歲)'!A70&gt;=20,'試算表(16歲-65歲)'!A70&lt;=29),0,
VLOOKUP("P"&amp;REPT("0",2-LEN(商品年期))&amp;商品年期&amp;"S"&amp;"2"&amp;"A"&amp;REPT("0",2-LEN(A70))&amp;A70,INDIRECT(主約費率表),6,FALSE)*$O$3)))</f>
        <v>0</v>
      </c>
      <c r="P70" s="146">
        <f t="shared" si="27"/>
        <v>0</v>
      </c>
      <c r="Q70" s="146">
        <f t="shared" si="28"/>
        <v>0</v>
      </c>
      <c r="R70" s="146">
        <f t="shared" si="29"/>
        <v>0</v>
      </c>
      <c r="S70" s="146">
        <f t="shared" si="30"/>
        <v>0</v>
      </c>
      <c r="T70" s="146">
        <f t="shared" si="31"/>
        <v>0</v>
      </c>
      <c r="U70" s="146" cm="1">
        <f t="array" ref="U70">IF(OR(A70="",$U$3=0),0,IF(ISERROR($U$3),0,ROUND(INDEX(MT_NP,1,職業等級)+(MAX(0,MT保額-3)*INDEX(MT_NP,2,職業等級)),0)))</f>
        <v>0</v>
      </c>
      <c r="V70" s="146">
        <f t="shared" si="32"/>
        <v>0</v>
      </c>
      <c r="W70" s="146">
        <f t="shared" si="33"/>
        <v>0</v>
      </c>
      <c r="X70" s="146">
        <f t="shared" si="34"/>
        <v>0</v>
      </c>
      <c r="Y70" s="146"/>
      <c r="Z70" s="146"/>
      <c r="AA70" s="153"/>
    </row>
    <row r="71" spans="1:27">
      <c r="A71" s="149" t="str">
        <f t="shared" si="35"/>
        <v/>
      </c>
      <c r="B71" s="150">
        <f ca="1">IF(OR(A71="",$B$3=0),0,
IF(AND(OR($B$2="ASGNLB1",$B$2="ASGNLB2"),$B$3&gt;30,$A71&gt;49),0,
IF(AND(照護有術顯示判斷=2,'試算表(16歲-65歲)'!A71&gt;=20,'試算表(16歲-65歲)'!A71&lt;=29),0,
VLOOKUP("P"&amp;REPT("0",2-LEN(商品年期))&amp;商品年期&amp;"S"&amp;"1"&amp;"A"&amp;REPT("0",2-LEN(A71))&amp;A71,INDIRECT(主約費率表),6,FALSE)*$B$3)))</f>
        <v>0</v>
      </c>
      <c r="C71" s="150">
        <f t="shared" si="19"/>
        <v>0</v>
      </c>
      <c r="D71" s="150">
        <f t="shared" si="20"/>
        <v>0</v>
      </c>
      <c r="E71" s="150">
        <f t="shared" si="21"/>
        <v>0</v>
      </c>
      <c r="F71" s="150">
        <f t="shared" si="22"/>
        <v>0</v>
      </c>
      <c r="G71" s="151">
        <f t="shared" si="23"/>
        <v>0</v>
      </c>
      <c r="H71" s="151" cm="1">
        <f t="array" ref="H71">IF(OR(A71="",$H$3=0),0,IF(ISERROR($H$3),0,ROUND(INDEX(MT_NP,1,職業等級)+(MAX(0,MT保額-3)*INDEX(MT_NP,2,職業等級)),0)))</f>
        <v>0</v>
      </c>
      <c r="I71" s="150">
        <f t="shared" si="24"/>
        <v>0</v>
      </c>
      <c r="J71" s="150">
        <f t="shared" si="25"/>
        <v>0</v>
      </c>
      <c r="K71" s="150">
        <f t="shared" si="26"/>
        <v>0</v>
      </c>
      <c r="L71" s="150"/>
      <c r="M71" s="150"/>
      <c r="N71" s="152"/>
      <c r="O71" s="146">
        <f ca="1">IF(OR(A71="",$O$3=0),0,
IF(AND(OR($O$2="ASGNLB1",$O$2="ASGNLB2"),$O$3&gt;30,$A71&gt;49),0,
IF(AND(照護有術顯示判斷=2,'試算表(16歲-65歲)'!A71&gt;=20,'試算表(16歲-65歲)'!A71&lt;=29),0,
VLOOKUP("P"&amp;REPT("0",2-LEN(商品年期))&amp;商品年期&amp;"S"&amp;"2"&amp;"A"&amp;REPT("0",2-LEN(A71))&amp;A71,INDIRECT(主約費率表),6,FALSE)*$O$3)))</f>
        <v>0</v>
      </c>
      <c r="P71" s="146">
        <f t="shared" si="27"/>
        <v>0</v>
      </c>
      <c r="Q71" s="146">
        <f t="shared" si="28"/>
        <v>0</v>
      </c>
      <c r="R71" s="146">
        <f t="shared" si="29"/>
        <v>0</v>
      </c>
      <c r="S71" s="146">
        <f t="shared" si="30"/>
        <v>0</v>
      </c>
      <c r="T71" s="146">
        <f t="shared" si="31"/>
        <v>0</v>
      </c>
      <c r="U71" s="146" cm="1">
        <f t="array" ref="U71">IF(OR(A71="",$U$3=0),0,IF(ISERROR($U$3),0,ROUND(INDEX(MT_NP,1,職業等級)+(MAX(0,MT保額-3)*INDEX(MT_NP,2,職業等級)),0)))</f>
        <v>0</v>
      </c>
      <c r="V71" s="146">
        <f t="shared" si="32"/>
        <v>0</v>
      </c>
      <c r="W71" s="146">
        <f t="shared" si="33"/>
        <v>0</v>
      </c>
      <c r="X71" s="146">
        <f t="shared" si="34"/>
        <v>0</v>
      </c>
      <c r="Y71" s="146"/>
      <c r="Z71" s="146"/>
      <c r="AA71" s="153"/>
    </row>
    <row r="72" spans="1:27">
      <c r="A72" s="149" t="str">
        <f t="shared" si="35"/>
        <v/>
      </c>
      <c r="B72" s="150">
        <f ca="1">IF(OR(A72="",$B$3=0),0,
IF(AND(OR($B$2="ASGNLB1",$B$2="ASGNLB2"),$B$3&gt;30,$A72&gt;49),0,
IF(AND(照護有術顯示判斷=2,'試算表(16歲-65歲)'!A72&gt;=20,'試算表(16歲-65歲)'!A72&lt;=29),0,
VLOOKUP("P"&amp;REPT("0",2-LEN(商品年期))&amp;商品年期&amp;"S"&amp;"1"&amp;"A"&amp;REPT("0",2-LEN(A72))&amp;A72,INDIRECT(主約費率表),6,FALSE)*$B$3)))</f>
        <v>0</v>
      </c>
      <c r="C72" s="150">
        <f t="shared" si="19"/>
        <v>0</v>
      </c>
      <c r="D72" s="150">
        <f t="shared" si="20"/>
        <v>0</v>
      </c>
      <c r="E72" s="150">
        <f t="shared" si="21"/>
        <v>0</v>
      </c>
      <c r="F72" s="150">
        <f t="shared" si="22"/>
        <v>0</v>
      </c>
      <c r="G72" s="151">
        <f t="shared" si="23"/>
        <v>0</v>
      </c>
      <c r="H72" s="151" cm="1">
        <f t="array" ref="H72">IF(OR(A72="",$H$3=0),0,IF(ISERROR($H$3),0,ROUND(INDEX(MT_NP,1,職業等級)+(MAX(0,MT保額-3)*INDEX(MT_NP,2,職業等級)),0)))</f>
        <v>0</v>
      </c>
      <c r="I72" s="150">
        <f t="shared" si="24"/>
        <v>0</v>
      </c>
      <c r="J72" s="150">
        <f t="shared" si="25"/>
        <v>0</v>
      </c>
      <c r="K72" s="150">
        <f t="shared" si="26"/>
        <v>0</v>
      </c>
      <c r="L72" s="150"/>
      <c r="M72" s="150"/>
      <c r="N72" s="152"/>
      <c r="O72" s="146">
        <f ca="1">IF(OR(A72="",$O$3=0),0,
IF(AND(OR($O$2="ASGNLB1",$O$2="ASGNLB2"),$O$3&gt;30,$A72&gt;49),0,
IF(AND(照護有術顯示判斷=2,'試算表(16歲-65歲)'!A72&gt;=20,'試算表(16歲-65歲)'!A72&lt;=29),0,
VLOOKUP("P"&amp;REPT("0",2-LEN(商品年期))&amp;商品年期&amp;"S"&amp;"2"&amp;"A"&amp;REPT("0",2-LEN(A72))&amp;A72,INDIRECT(主約費率表),6,FALSE)*$O$3)))</f>
        <v>0</v>
      </c>
      <c r="P72" s="146">
        <f t="shared" si="27"/>
        <v>0</v>
      </c>
      <c r="Q72" s="146">
        <f t="shared" si="28"/>
        <v>0</v>
      </c>
      <c r="R72" s="146">
        <f t="shared" si="29"/>
        <v>0</v>
      </c>
      <c r="S72" s="146">
        <f t="shared" si="30"/>
        <v>0</v>
      </c>
      <c r="T72" s="146">
        <f t="shared" si="31"/>
        <v>0</v>
      </c>
      <c r="U72" s="146" cm="1">
        <f t="array" ref="U72">IF(OR(A72="",$U$3=0),0,IF(ISERROR($U$3),0,ROUND(INDEX(MT_NP,1,職業等級)+(MAX(0,MT保額-3)*INDEX(MT_NP,2,職業等級)),0)))</f>
        <v>0</v>
      </c>
      <c r="V72" s="146">
        <f t="shared" si="32"/>
        <v>0</v>
      </c>
      <c r="W72" s="146">
        <f t="shared" si="33"/>
        <v>0</v>
      </c>
      <c r="X72" s="146">
        <f t="shared" si="34"/>
        <v>0</v>
      </c>
      <c r="Y72" s="146"/>
      <c r="Z72" s="146"/>
      <c r="AA72" s="153"/>
    </row>
    <row r="73" spans="1:27">
      <c r="A73" s="149" t="str">
        <f t="shared" si="35"/>
        <v/>
      </c>
      <c r="B73" s="150">
        <f ca="1">IF(OR(A73="",$B$3=0),0,
IF(AND(OR($B$2="ASGNLB1",$B$2="ASGNLB2"),$B$3&gt;30,$A73&gt;49),0,
IF(AND(照護有術顯示判斷=2,'試算表(16歲-65歲)'!A73&gt;=20,'試算表(16歲-65歲)'!A73&lt;=29),0,
VLOOKUP("P"&amp;REPT("0",2-LEN(商品年期))&amp;商品年期&amp;"S"&amp;"1"&amp;"A"&amp;REPT("0",2-LEN(A73))&amp;A73,INDIRECT(主約費率表),6,FALSE)*$B$3)))</f>
        <v>0</v>
      </c>
      <c r="C73" s="150">
        <f t="shared" si="19"/>
        <v>0</v>
      </c>
      <c r="D73" s="150">
        <f t="shared" si="20"/>
        <v>0</v>
      </c>
      <c r="E73" s="150">
        <f t="shared" si="21"/>
        <v>0</v>
      </c>
      <c r="F73" s="150">
        <f t="shared" si="22"/>
        <v>0</v>
      </c>
      <c r="G73" s="151">
        <f t="shared" si="23"/>
        <v>0</v>
      </c>
      <c r="H73" s="151" cm="1">
        <f t="array" ref="H73">IF(OR(A73="",$H$3=0),0,IF(ISERROR($H$3),0,ROUND(INDEX(MT_NP,1,職業等級)+(MAX(0,MT保額-3)*INDEX(MT_NP,2,職業等級)),0)))</f>
        <v>0</v>
      </c>
      <c r="I73" s="150">
        <f t="shared" si="24"/>
        <v>0</v>
      </c>
      <c r="J73" s="150">
        <f t="shared" si="25"/>
        <v>0</v>
      </c>
      <c r="K73" s="150">
        <f t="shared" si="26"/>
        <v>0</v>
      </c>
      <c r="L73" s="150"/>
      <c r="M73" s="150"/>
      <c r="N73" s="152"/>
      <c r="O73" s="146">
        <f ca="1">IF(OR(A73="",$O$3=0),0,
IF(AND(OR($O$2="ASGNLB1",$O$2="ASGNLB2"),$O$3&gt;30,$A73&gt;49),0,
IF(AND(照護有術顯示判斷=2,'試算表(16歲-65歲)'!A73&gt;=20,'試算表(16歲-65歲)'!A73&lt;=29),0,
VLOOKUP("P"&amp;REPT("0",2-LEN(商品年期))&amp;商品年期&amp;"S"&amp;"2"&amp;"A"&amp;REPT("0",2-LEN(A73))&amp;A73,INDIRECT(主約費率表),6,FALSE)*$O$3)))</f>
        <v>0</v>
      </c>
      <c r="P73" s="146">
        <f t="shared" si="27"/>
        <v>0</v>
      </c>
      <c r="Q73" s="146">
        <f t="shared" si="28"/>
        <v>0</v>
      </c>
      <c r="R73" s="146">
        <f t="shared" si="29"/>
        <v>0</v>
      </c>
      <c r="S73" s="146">
        <f t="shared" si="30"/>
        <v>0</v>
      </c>
      <c r="T73" s="146">
        <f t="shared" si="31"/>
        <v>0</v>
      </c>
      <c r="U73" s="146" cm="1">
        <f t="array" ref="U73">IF(OR(A73="",$U$3=0),0,IF(ISERROR($U$3),0,ROUND(INDEX(MT_NP,1,職業等級)+(MAX(0,MT保額-3)*INDEX(MT_NP,2,職業等級)),0)))</f>
        <v>0</v>
      </c>
      <c r="V73" s="146">
        <f t="shared" si="32"/>
        <v>0</v>
      </c>
      <c r="W73" s="146">
        <f t="shared" si="33"/>
        <v>0</v>
      </c>
      <c r="X73" s="146">
        <f t="shared" si="34"/>
        <v>0</v>
      </c>
      <c r="Y73" s="146"/>
      <c r="Z73" s="146"/>
      <c r="AA73" s="153"/>
    </row>
    <row r="74" spans="1:27">
      <c r="A74" s="149" t="str">
        <f t="shared" si="35"/>
        <v/>
      </c>
      <c r="B74" s="150">
        <f ca="1">IF(OR(A74="",$B$3=0),0,
IF(AND(OR($B$2="ASGNLB1",$B$2="ASGNLB2"),$B$3&gt;30,$A74&gt;49),0,
IF(AND(照護有術顯示判斷=2,'試算表(16歲-65歲)'!A74&gt;=20,'試算表(16歲-65歲)'!A74&lt;=29),0,
VLOOKUP("P"&amp;REPT("0",2-LEN(商品年期))&amp;商品年期&amp;"S"&amp;"1"&amp;"A"&amp;REPT("0",2-LEN(A74))&amp;A74,INDIRECT(主約費率表),6,FALSE)*$B$3)))</f>
        <v>0</v>
      </c>
      <c r="C74" s="150">
        <f t="shared" si="19"/>
        <v>0</v>
      </c>
      <c r="D74" s="150">
        <f t="shared" si="20"/>
        <v>0</v>
      </c>
      <c r="E74" s="150">
        <f t="shared" si="21"/>
        <v>0</v>
      </c>
      <c r="F74" s="150">
        <f t="shared" si="22"/>
        <v>0</v>
      </c>
      <c r="G74" s="151">
        <f t="shared" si="23"/>
        <v>0</v>
      </c>
      <c r="H74" s="151" cm="1">
        <f t="array" ref="H74">IF(OR(A74="",$H$3=0),0,IF(ISERROR($H$3),0,ROUND(INDEX(MT_NP,1,職業等級)+(MAX(0,MT保額-3)*INDEX(MT_NP,2,職業等級)),0)))</f>
        <v>0</v>
      </c>
      <c r="I74" s="150">
        <f t="shared" si="24"/>
        <v>0</v>
      </c>
      <c r="J74" s="150">
        <f t="shared" si="25"/>
        <v>0</v>
      </c>
      <c r="K74" s="150">
        <f t="shared" si="26"/>
        <v>0</v>
      </c>
      <c r="L74" s="150"/>
      <c r="M74" s="150"/>
      <c r="N74" s="152"/>
      <c r="O74" s="146">
        <f ca="1">IF(OR(A74="",$O$3=0),0,
IF(AND(OR($O$2="ASGNLB1",$O$2="ASGNLB2"),$O$3&gt;30,$A74&gt;49),0,
IF(AND(照護有術顯示判斷=2,'試算表(16歲-65歲)'!A74&gt;=20,'試算表(16歲-65歲)'!A74&lt;=29),0,
VLOOKUP("P"&amp;REPT("0",2-LEN(商品年期))&amp;商品年期&amp;"S"&amp;"2"&amp;"A"&amp;REPT("0",2-LEN(A74))&amp;A74,INDIRECT(主約費率表),6,FALSE)*$O$3)))</f>
        <v>0</v>
      </c>
      <c r="P74" s="146">
        <f t="shared" si="27"/>
        <v>0</v>
      </c>
      <c r="Q74" s="146">
        <f t="shared" si="28"/>
        <v>0</v>
      </c>
      <c r="R74" s="146">
        <f t="shared" si="29"/>
        <v>0</v>
      </c>
      <c r="S74" s="146">
        <f t="shared" si="30"/>
        <v>0</v>
      </c>
      <c r="T74" s="146">
        <f t="shared" si="31"/>
        <v>0</v>
      </c>
      <c r="U74" s="146" cm="1">
        <f t="array" ref="U74">IF(OR(A74="",$U$3=0),0,IF(ISERROR($U$3),0,ROUND(INDEX(MT_NP,1,職業等級)+(MAX(0,MT保額-3)*INDEX(MT_NP,2,職業等級)),0)))</f>
        <v>0</v>
      </c>
      <c r="V74" s="146">
        <f t="shared" si="32"/>
        <v>0</v>
      </c>
      <c r="W74" s="146">
        <f t="shared" si="33"/>
        <v>0</v>
      </c>
      <c r="X74" s="146">
        <f t="shared" si="34"/>
        <v>0</v>
      </c>
      <c r="Y74" s="146"/>
      <c r="Z74" s="146"/>
      <c r="AA74" s="153"/>
    </row>
    <row r="75" spans="1:27">
      <c r="A75" s="149" t="str">
        <f t="shared" si="35"/>
        <v/>
      </c>
      <c r="B75" s="150">
        <f ca="1">IF(OR(A75="",$B$3=0),0,
IF(AND(OR($B$2="ASGNLB1",$B$2="ASGNLB2"),$B$3&gt;30,$A75&gt;49),0,
IF(AND(照護有術顯示判斷=2,'試算表(16歲-65歲)'!A75&gt;=20,'試算表(16歲-65歲)'!A75&lt;=29),0,
VLOOKUP("P"&amp;REPT("0",2-LEN(商品年期))&amp;商品年期&amp;"S"&amp;"1"&amp;"A"&amp;REPT("0",2-LEN(A75))&amp;A75,INDIRECT(主約費率表),6,FALSE)*$B$3)))</f>
        <v>0</v>
      </c>
      <c r="C75" s="150">
        <f t="shared" si="19"/>
        <v>0</v>
      </c>
      <c r="D75" s="150">
        <f t="shared" si="20"/>
        <v>0</v>
      </c>
      <c r="E75" s="150">
        <f t="shared" si="21"/>
        <v>0</v>
      </c>
      <c r="F75" s="150">
        <f t="shared" si="22"/>
        <v>0</v>
      </c>
      <c r="G75" s="151">
        <f t="shared" si="23"/>
        <v>0</v>
      </c>
      <c r="H75" s="151" cm="1">
        <f t="array" ref="H75">IF(OR(A75="",$H$3=0),0,IF(ISERROR($H$3),0,ROUND(INDEX(MT_NP,1,職業等級)+(MAX(0,MT保額-3)*INDEX(MT_NP,2,職業等級)),0)))</f>
        <v>0</v>
      </c>
      <c r="I75" s="150">
        <f t="shared" si="24"/>
        <v>0</v>
      </c>
      <c r="J75" s="150">
        <f t="shared" si="25"/>
        <v>0</v>
      </c>
      <c r="K75" s="150">
        <f t="shared" si="26"/>
        <v>0</v>
      </c>
      <c r="L75" s="150"/>
      <c r="M75" s="150"/>
      <c r="N75" s="152"/>
      <c r="O75" s="146">
        <f ca="1">IF(OR(A75="",$O$3=0),0,
IF(AND(OR($O$2="ASGNLB1",$O$2="ASGNLB2"),$O$3&gt;30,$A75&gt;49),0,
IF(AND(照護有術顯示判斷=2,'試算表(16歲-65歲)'!A75&gt;=20,'試算表(16歲-65歲)'!A75&lt;=29),0,
VLOOKUP("P"&amp;REPT("0",2-LEN(商品年期))&amp;商品年期&amp;"S"&amp;"2"&amp;"A"&amp;REPT("0",2-LEN(A75))&amp;A75,INDIRECT(主約費率表),6,FALSE)*$O$3)))</f>
        <v>0</v>
      </c>
      <c r="P75" s="146">
        <f t="shared" si="27"/>
        <v>0</v>
      </c>
      <c r="Q75" s="146">
        <f t="shared" si="28"/>
        <v>0</v>
      </c>
      <c r="R75" s="146">
        <f t="shared" si="29"/>
        <v>0</v>
      </c>
      <c r="S75" s="146">
        <f t="shared" si="30"/>
        <v>0</v>
      </c>
      <c r="T75" s="146">
        <f t="shared" si="31"/>
        <v>0</v>
      </c>
      <c r="U75" s="146" cm="1">
        <f t="array" ref="U75">IF(OR(A75="",$U$3=0),0,IF(ISERROR($U$3),0,ROUND(INDEX(MT_NP,1,職業等級)+(MAX(0,MT保額-3)*INDEX(MT_NP,2,職業等級)),0)))</f>
        <v>0</v>
      </c>
      <c r="V75" s="146">
        <f t="shared" si="32"/>
        <v>0</v>
      </c>
      <c r="W75" s="146">
        <f t="shared" si="33"/>
        <v>0</v>
      </c>
      <c r="X75" s="146">
        <f t="shared" si="34"/>
        <v>0</v>
      </c>
      <c r="Y75" s="146"/>
      <c r="Z75" s="146"/>
      <c r="AA75" s="153"/>
    </row>
    <row r="76" spans="1:27">
      <c r="A76" s="149" t="str">
        <f t="shared" si="35"/>
        <v/>
      </c>
      <c r="B76" s="150">
        <f ca="1">IF(OR(A76="",$B$3=0),0,
IF(AND(OR($B$2="ASGNLB1",$B$2="ASGNLB2"),$B$3&gt;30,$A76&gt;49),0,
IF(AND(照護有術顯示判斷=2,'試算表(16歲-65歲)'!A76&gt;=20,'試算表(16歲-65歲)'!A76&lt;=29),0,
VLOOKUP("P"&amp;REPT("0",2-LEN(商品年期))&amp;商品年期&amp;"S"&amp;"1"&amp;"A"&amp;REPT("0",2-LEN(A76))&amp;A76,INDIRECT(主約費率表),6,FALSE)*$B$3)))</f>
        <v>0</v>
      </c>
      <c r="C76" s="150">
        <f t="shared" si="19"/>
        <v>0</v>
      </c>
      <c r="D76" s="150">
        <f t="shared" si="20"/>
        <v>0</v>
      </c>
      <c r="E76" s="150">
        <f t="shared" si="21"/>
        <v>0</v>
      </c>
      <c r="F76" s="150">
        <f t="shared" si="22"/>
        <v>0</v>
      </c>
      <c r="G76" s="151">
        <f t="shared" si="23"/>
        <v>0</v>
      </c>
      <c r="H76" s="151" cm="1">
        <f t="array" ref="H76">IF(OR(A76="",$H$3=0),0,IF(ISERROR($H$3),0,ROUND(INDEX(MT_NP,1,職業等級)+(MAX(0,MT保額-3)*INDEX(MT_NP,2,職業等級)),0)))</f>
        <v>0</v>
      </c>
      <c r="I76" s="150">
        <f t="shared" si="24"/>
        <v>0</v>
      </c>
      <c r="J76" s="150">
        <f t="shared" si="25"/>
        <v>0</v>
      </c>
      <c r="K76" s="150">
        <f t="shared" si="26"/>
        <v>0</v>
      </c>
      <c r="L76" s="150"/>
      <c r="M76" s="150"/>
      <c r="N76" s="152"/>
      <c r="O76" s="146">
        <f ca="1">IF(OR(A76="",$O$3=0),0,
IF(AND(OR($O$2="ASGNLB1",$O$2="ASGNLB2"),$O$3&gt;30,$A76&gt;49),0,
IF(AND(照護有術顯示判斷=2,'試算表(16歲-65歲)'!A76&gt;=20,'試算表(16歲-65歲)'!A76&lt;=29),0,
VLOOKUP("P"&amp;REPT("0",2-LEN(商品年期))&amp;商品年期&amp;"S"&amp;"2"&amp;"A"&amp;REPT("0",2-LEN(A76))&amp;A76,INDIRECT(主約費率表),6,FALSE)*$O$3)))</f>
        <v>0</v>
      </c>
      <c r="P76" s="146">
        <f t="shared" si="27"/>
        <v>0</v>
      </c>
      <c r="Q76" s="146">
        <f t="shared" si="28"/>
        <v>0</v>
      </c>
      <c r="R76" s="146">
        <f t="shared" si="29"/>
        <v>0</v>
      </c>
      <c r="S76" s="146">
        <f t="shared" si="30"/>
        <v>0</v>
      </c>
      <c r="T76" s="146">
        <f t="shared" si="31"/>
        <v>0</v>
      </c>
      <c r="U76" s="146" cm="1">
        <f t="array" ref="U76">IF(OR(A76="",$U$3=0),0,IF(ISERROR($U$3),0,ROUND(INDEX(MT_NP,1,職業等級)+(MAX(0,MT保額-3)*INDEX(MT_NP,2,職業等級)),0)))</f>
        <v>0</v>
      </c>
      <c r="V76" s="146">
        <f t="shared" si="32"/>
        <v>0</v>
      </c>
      <c r="W76" s="146">
        <f t="shared" si="33"/>
        <v>0</v>
      </c>
      <c r="X76" s="146">
        <f t="shared" si="34"/>
        <v>0</v>
      </c>
      <c r="Y76" s="146"/>
      <c r="Z76" s="146"/>
      <c r="AA76" s="153"/>
    </row>
    <row r="77" spans="1:27">
      <c r="A77" s="149" t="str">
        <f t="shared" si="35"/>
        <v/>
      </c>
      <c r="B77" s="150">
        <f ca="1">IF(OR(A77="",$B$3=0),0,
IF(AND(OR($B$2="ASGNLB1",$B$2="ASGNLB2"),$B$3&gt;30,$A77&gt;49),0,
IF(AND(照護有術顯示判斷=2,'試算表(16歲-65歲)'!A77&gt;=20,'試算表(16歲-65歲)'!A77&lt;=29),0,
VLOOKUP("P"&amp;REPT("0",2-LEN(商品年期))&amp;商品年期&amp;"S"&amp;"1"&amp;"A"&amp;REPT("0",2-LEN(A77))&amp;A77,INDIRECT(主約費率表),6,FALSE)*$B$3)))</f>
        <v>0</v>
      </c>
      <c r="C77" s="150">
        <f t="shared" si="19"/>
        <v>0</v>
      </c>
      <c r="D77" s="150">
        <f t="shared" si="20"/>
        <v>0</v>
      </c>
      <c r="E77" s="150">
        <f t="shared" si="21"/>
        <v>0</v>
      </c>
      <c r="F77" s="150">
        <f t="shared" si="22"/>
        <v>0</v>
      </c>
      <c r="G77" s="151">
        <f t="shared" si="23"/>
        <v>0</v>
      </c>
      <c r="H77" s="151" cm="1">
        <f t="array" ref="H77">IF(OR(A77="",$H$3=0),0,IF(ISERROR($H$3),0,ROUND(INDEX(MT_NP,1,職業等級)+(MAX(0,MT保額-3)*INDEX(MT_NP,2,職業等級)),0)))</f>
        <v>0</v>
      </c>
      <c r="I77" s="150">
        <f t="shared" si="24"/>
        <v>0</v>
      </c>
      <c r="J77" s="150">
        <f t="shared" si="25"/>
        <v>0</v>
      </c>
      <c r="K77" s="150">
        <f t="shared" si="26"/>
        <v>0</v>
      </c>
      <c r="L77" s="150"/>
      <c r="M77" s="150"/>
      <c r="N77" s="152"/>
      <c r="O77" s="146">
        <f ca="1">IF(OR(A77="",$O$3=0),0,
IF(AND(OR($O$2="ASGNLB1",$O$2="ASGNLB2"),$O$3&gt;30,$A77&gt;49),0,
IF(AND(照護有術顯示判斷=2,'試算表(16歲-65歲)'!A77&gt;=20,'試算表(16歲-65歲)'!A77&lt;=29),0,
VLOOKUP("P"&amp;REPT("0",2-LEN(商品年期))&amp;商品年期&amp;"S"&amp;"2"&amp;"A"&amp;REPT("0",2-LEN(A77))&amp;A77,INDIRECT(主約費率表),6,FALSE)*$O$3)))</f>
        <v>0</v>
      </c>
      <c r="P77" s="146">
        <f t="shared" si="27"/>
        <v>0</v>
      </c>
      <c r="Q77" s="146">
        <f t="shared" si="28"/>
        <v>0</v>
      </c>
      <c r="R77" s="146">
        <f t="shared" si="29"/>
        <v>0</v>
      </c>
      <c r="S77" s="146">
        <f t="shared" si="30"/>
        <v>0</v>
      </c>
      <c r="T77" s="146">
        <f t="shared" si="31"/>
        <v>0</v>
      </c>
      <c r="U77" s="146" cm="1">
        <f t="array" ref="U77">IF(OR(A77="",$U$3=0),0,IF(ISERROR($U$3),0,ROUND(INDEX(MT_NP,1,職業等級)+(MAX(0,MT保額-3)*INDEX(MT_NP,2,職業等級)),0)))</f>
        <v>0</v>
      </c>
      <c r="V77" s="146">
        <f t="shared" si="32"/>
        <v>0</v>
      </c>
      <c r="W77" s="146">
        <f t="shared" si="33"/>
        <v>0</v>
      </c>
      <c r="X77" s="146">
        <f t="shared" si="34"/>
        <v>0</v>
      </c>
      <c r="Y77" s="146"/>
      <c r="Z77" s="146"/>
      <c r="AA77" s="153"/>
    </row>
    <row r="78" spans="1:27">
      <c r="A78" s="149" t="str">
        <f t="shared" si="35"/>
        <v/>
      </c>
      <c r="B78" s="150">
        <f ca="1">IF(OR(A78="",$B$3=0),0,
IF(AND(OR($B$2="ASGNLB1",$B$2="ASGNLB2"),$B$3&gt;30,$A78&gt;49),0,
IF(AND(照護有術顯示判斷=2,'試算表(16歲-65歲)'!A78&gt;=20,'試算表(16歲-65歲)'!A78&lt;=29),0,
VLOOKUP("P"&amp;REPT("0",2-LEN(商品年期))&amp;商品年期&amp;"S"&amp;"1"&amp;"A"&amp;REPT("0",2-LEN(A78))&amp;A78,INDIRECT(主約費率表),6,FALSE)*$B$3)))</f>
        <v>0</v>
      </c>
      <c r="C78" s="150">
        <f t="shared" si="19"/>
        <v>0</v>
      </c>
      <c r="D78" s="150">
        <f t="shared" si="20"/>
        <v>0</v>
      </c>
      <c r="E78" s="150">
        <f t="shared" si="21"/>
        <v>0</v>
      </c>
      <c r="F78" s="150">
        <f t="shared" si="22"/>
        <v>0</v>
      </c>
      <c r="G78" s="151">
        <f t="shared" si="23"/>
        <v>0</v>
      </c>
      <c r="H78" s="151" cm="1">
        <f t="array" ref="H78">IF(OR(A78="",$H$3=0),0,IF(ISERROR($H$3),0,ROUND(INDEX(MT_NP,1,職業等級)+(MAX(0,MT保額-3)*INDEX(MT_NP,2,職業等級)),0)))</f>
        <v>0</v>
      </c>
      <c r="I78" s="150">
        <f t="shared" si="24"/>
        <v>0</v>
      </c>
      <c r="J78" s="150">
        <f t="shared" si="25"/>
        <v>0</v>
      </c>
      <c r="K78" s="150">
        <f t="shared" si="26"/>
        <v>0</v>
      </c>
      <c r="L78" s="150"/>
      <c r="M78" s="150"/>
      <c r="N78" s="152"/>
      <c r="O78" s="146">
        <f ca="1">IF(OR(A78="",$O$3=0),0,
IF(AND(OR($O$2="ASGNLB1",$O$2="ASGNLB2"),$O$3&gt;30,$A78&gt;49),0,
IF(AND(照護有術顯示判斷=2,'試算表(16歲-65歲)'!A78&gt;=20,'試算表(16歲-65歲)'!A78&lt;=29),0,
VLOOKUP("P"&amp;REPT("0",2-LEN(商品年期))&amp;商品年期&amp;"S"&amp;"2"&amp;"A"&amp;REPT("0",2-LEN(A78))&amp;A78,INDIRECT(主約費率表),6,FALSE)*$O$3)))</f>
        <v>0</v>
      </c>
      <c r="P78" s="146">
        <f t="shared" si="27"/>
        <v>0</v>
      </c>
      <c r="Q78" s="146">
        <f t="shared" si="28"/>
        <v>0</v>
      </c>
      <c r="R78" s="146">
        <f t="shared" si="29"/>
        <v>0</v>
      </c>
      <c r="S78" s="146">
        <f t="shared" si="30"/>
        <v>0</v>
      </c>
      <c r="T78" s="146">
        <f t="shared" si="31"/>
        <v>0</v>
      </c>
      <c r="U78" s="146" cm="1">
        <f t="array" ref="U78">IF(OR(A78="",$U$3=0),0,IF(ISERROR($U$3),0,ROUND(INDEX(MT_NP,1,職業等級)+(MAX(0,MT保額-3)*INDEX(MT_NP,2,職業等級)),0)))</f>
        <v>0</v>
      </c>
      <c r="V78" s="146">
        <f t="shared" si="32"/>
        <v>0</v>
      </c>
      <c r="W78" s="146">
        <f t="shared" si="33"/>
        <v>0</v>
      </c>
      <c r="X78" s="146">
        <f t="shared" si="34"/>
        <v>0</v>
      </c>
      <c r="Y78" s="146"/>
      <c r="Z78" s="146"/>
      <c r="AA78" s="153"/>
    </row>
    <row r="79" spans="1:27">
      <c r="A79" s="149" t="str">
        <f t="shared" si="35"/>
        <v/>
      </c>
      <c r="B79" s="150">
        <f ca="1">IF(OR(A79="",$B$3=0),0,
IF(AND(OR($B$2="ASGNLB1",$B$2="ASGNLB2"),$B$3&gt;30,$A79&gt;49),0,
IF(AND(照護有術顯示判斷=2,'試算表(16歲-65歲)'!A79&gt;=20,'試算表(16歲-65歲)'!A79&lt;=29),0,
VLOOKUP("P"&amp;REPT("0",2-LEN(商品年期))&amp;商品年期&amp;"S"&amp;"1"&amp;"A"&amp;REPT("0",2-LEN(A79))&amp;A79,INDIRECT(主約費率表),6,FALSE)*$B$3)))</f>
        <v>0</v>
      </c>
      <c r="C79" s="150">
        <f t="shared" si="19"/>
        <v>0</v>
      </c>
      <c r="D79" s="150">
        <f t="shared" si="20"/>
        <v>0</v>
      </c>
      <c r="E79" s="150">
        <f t="shared" si="21"/>
        <v>0</v>
      </c>
      <c r="F79" s="150">
        <f t="shared" si="22"/>
        <v>0</v>
      </c>
      <c r="G79" s="151">
        <f t="shared" si="23"/>
        <v>0</v>
      </c>
      <c r="H79" s="151" cm="1">
        <f t="array" ref="H79">IF(OR(A79="",$H$3=0),0,IF(ISERROR($H$3),0,ROUND(INDEX(MT_NP,1,職業等級)+(MAX(0,MT保額-3)*INDEX(MT_NP,2,職業等級)),0)))</f>
        <v>0</v>
      </c>
      <c r="I79" s="150">
        <f t="shared" si="24"/>
        <v>0</v>
      </c>
      <c r="J79" s="150">
        <f t="shared" si="25"/>
        <v>0</v>
      </c>
      <c r="K79" s="150">
        <f t="shared" si="26"/>
        <v>0</v>
      </c>
      <c r="L79" s="150"/>
      <c r="M79" s="150"/>
      <c r="N79" s="152"/>
      <c r="O79" s="146">
        <f ca="1">IF(OR(A79="",$O$3=0),0,
IF(AND(OR($O$2="ASGNLB1",$O$2="ASGNLB2"),$O$3&gt;30,$A79&gt;49),0,
IF(AND(照護有術顯示判斷=2,'試算表(16歲-65歲)'!A79&gt;=20,'試算表(16歲-65歲)'!A79&lt;=29),0,
VLOOKUP("P"&amp;REPT("0",2-LEN(商品年期))&amp;商品年期&amp;"S"&amp;"2"&amp;"A"&amp;REPT("0",2-LEN(A79))&amp;A79,INDIRECT(主約費率表),6,FALSE)*$O$3)))</f>
        <v>0</v>
      </c>
      <c r="P79" s="146">
        <f t="shared" si="27"/>
        <v>0</v>
      </c>
      <c r="Q79" s="146">
        <f t="shared" si="28"/>
        <v>0</v>
      </c>
      <c r="R79" s="146">
        <f t="shared" si="29"/>
        <v>0</v>
      </c>
      <c r="S79" s="146">
        <f t="shared" si="30"/>
        <v>0</v>
      </c>
      <c r="T79" s="146">
        <f t="shared" si="31"/>
        <v>0</v>
      </c>
      <c r="U79" s="146" cm="1">
        <f t="array" ref="U79">IF(OR(A79="",$U$3=0),0,IF(ISERROR($U$3),0,ROUND(INDEX(MT_NP,1,職業等級)+(MAX(0,MT保額-3)*INDEX(MT_NP,2,職業等級)),0)))</f>
        <v>0</v>
      </c>
      <c r="V79" s="146">
        <f t="shared" si="32"/>
        <v>0</v>
      </c>
      <c r="W79" s="146">
        <f t="shared" si="33"/>
        <v>0</v>
      </c>
      <c r="X79" s="146">
        <f t="shared" si="34"/>
        <v>0</v>
      </c>
      <c r="Y79" s="146"/>
      <c r="Z79" s="146"/>
      <c r="AA79" s="153"/>
    </row>
    <row r="80" spans="1:27">
      <c r="A80" s="149" t="str">
        <f t="shared" si="35"/>
        <v/>
      </c>
      <c r="B80" s="150">
        <f ca="1">IF(OR(A80="",$B$3=0),0,
IF(AND(OR($B$2="ASGNLB1",$B$2="ASGNLB2"),$B$3&gt;30,$A80&gt;49),0,
IF(AND(照護有術顯示判斷=2,'試算表(16歲-65歲)'!A80&gt;=20,'試算表(16歲-65歲)'!A80&lt;=29),0,
VLOOKUP("P"&amp;REPT("0",2-LEN(商品年期))&amp;商品年期&amp;"S"&amp;"1"&amp;"A"&amp;REPT("0",2-LEN(A80))&amp;A80,INDIRECT(主約費率表),6,FALSE)*$B$3)))</f>
        <v>0</v>
      </c>
      <c r="C80" s="150">
        <f t="shared" si="19"/>
        <v>0</v>
      </c>
      <c r="D80" s="150">
        <f t="shared" si="20"/>
        <v>0</v>
      </c>
      <c r="E80" s="150">
        <f t="shared" si="21"/>
        <v>0</v>
      </c>
      <c r="F80" s="150">
        <f t="shared" si="22"/>
        <v>0</v>
      </c>
      <c r="G80" s="151">
        <f t="shared" si="23"/>
        <v>0</v>
      </c>
      <c r="H80" s="151" cm="1">
        <f t="array" ref="H80">IF(OR(A80="",$H$3=0),0,IF(ISERROR($H$3),0,ROUND(INDEX(MT_NP,1,職業等級)+(MAX(0,MT保額-3)*INDEX(MT_NP,2,職業等級)),0)))</f>
        <v>0</v>
      </c>
      <c r="I80" s="150">
        <f t="shared" si="24"/>
        <v>0</v>
      </c>
      <c r="J80" s="150">
        <f t="shared" si="25"/>
        <v>0</v>
      </c>
      <c r="K80" s="150">
        <f t="shared" si="26"/>
        <v>0</v>
      </c>
      <c r="L80" s="150"/>
      <c r="M80" s="150"/>
      <c r="N80" s="152"/>
      <c r="O80" s="146">
        <f ca="1">IF(OR(A80="",$O$3=0),0,
IF(AND(OR($O$2="ASGNLB1",$O$2="ASGNLB2"),$O$3&gt;30,$A80&gt;49),0,
IF(AND(照護有術顯示判斷=2,'試算表(16歲-65歲)'!A80&gt;=20,'試算表(16歲-65歲)'!A80&lt;=29),0,
VLOOKUP("P"&amp;REPT("0",2-LEN(商品年期))&amp;商品年期&amp;"S"&amp;"2"&amp;"A"&amp;REPT("0",2-LEN(A80))&amp;A80,INDIRECT(主約費率表),6,FALSE)*$O$3)))</f>
        <v>0</v>
      </c>
      <c r="P80" s="146">
        <f t="shared" si="27"/>
        <v>0</v>
      </c>
      <c r="Q80" s="146">
        <f t="shared" si="28"/>
        <v>0</v>
      </c>
      <c r="R80" s="146">
        <f t="shared" si="29"/>
        <v>0</v>
      </c>
      <c r="S80" s="146">
        <f t="shared" si="30"/>
        <v>0</v>
      </c>
      <c r="T80" s="146">
        <f t="shared" si="31"/>
        <v>0</v>
      </c>
      <c r="U80" s="146" cm="1">
        <f t="array" ref="U80">IF(OR(A80="",$U$3=0),0,IF(ISERROR($U$3),0,ROUND(INDEX(MT_NP,1,職業等級)+(MAX(0,MT保額-3)*INDEX(MT_NP,2,職業等級)),0)))</f>
        <v>0</v>
      </c>
      <c r="V80" s="146">
        <f t="shared" si="32"/>
        <v>0</v>
      </c>
      <c r="W80" s="146">
        <f t="shared" si="33"/>
        <v>0</v>
      </c>
      <c r="X80" s="146">
        <f t="shared" si="34"/>
        <v>0</v>
      </c>
      <c r="Y80" s="146"/>
      <c r="Z80" s="146"/>
      <c r="AA80" s="153"/>
    </row>
    <row r="81" spans="1:27">
      <c r="A81" s="149" t="str">
        <f t="shared" si="35"/>
        <v/>
      </c>
      <c r="B81" s="150">
        <f ca="1">IF(OR(A81="",$B$3=0),0,
IF(AND(OR($B$2="ASGNLB1",$B$2="ASGNLB2"),$B$3&gt;30,$A81&gt;49),0,
IF(AND(照護有術顯示判斷=2,'試算表(16歲-65歲)'!A81&gt;=20,'試算表(16歲-65歲)'!A81&lt;=29),0,
VLOOKUP("P"&amp;REPT("0",2-LEN(商品年期))&amp;商品年期&amp;"S"&amp;"1"&amp;"A"&amp;REPT("0",2-LEN(A81))&amp;A81,INDIRECT(主約費率表),6,FALSE)*$B$3)))</f>
        <v>0</v>
      </c>
      <c r="C81" s="150">
        <f t="shared" si="19"/>
        <v>0</v>
      </c>
      <c r="D81" s="150">
        <f t="shared" si="20"/>
        <v>0</v>
      </c>
      <c r="E81" s="150">
        <f t="shared" si="21"/>
        <v>0</v>
      </c>
      <c r="F81" s="150">
        <f t="shared" si="22"/>
        <v>0</v>
      </c>
      <c r="G81" s="151">
        <f t="shared" si="23"/>
        <v>0</v>
      </c>
      <c r="H81" s="151" cm="1">
        <f t="array" ref="H81">IF(OR(A81="",$H$3=0),0,IF(ISERROR($H$3),0,ROUND(INDEX(MT_NP,1,職業等級)+(MAX(0,MT保額-3)*INDEX(MT_NP,2,職業等級)),0)))</f>
        <v>0</v>
      </c>
      <c r="I81" s="150">
        <f t="shared" si="24"/>
        <v>0</v>
      </c>
      <c r="J81" s="150">
        <f t="shared" si="25"/>
        <v>0</v>
      </c>
      <c r="K81" s="150">
        <f t="shared" si="26"/>
        <v>0</v>
      </c>
      <c r="L81" s="150"/>
      <c r="M81" s="150"/>
      <c r="N81" s="152"/>
      <c r="O81" s="146">
        <f ca="1">IF(OR(A81="",$O$3=0),0,
IF(AND(OR($O$2="ASGNLB1",$O$2="ASGNLB2"),$O$3&gt;30,$A81&gt;49),0,
IF(AND(照護有術顯示判斷=2,'試算表(16歲-65歲)'!A81&gt;=20,'試算表(16歲-65歲)'!A81&lt;=29),0,
VLOOKUP("P"&amp;REPT("0",2-LEN(商品年期))&amp;商品年期&amp;"S"&amp;"2"&amp;"A"&amp;REPT("0",2-LEN(A81))&amp;A81,INDIRECT(主約費率表),6,FALSE)*$O$3)))</f>
        <v>0</v>
      </c>
      <c r="P81" s="146">
        <f t="shared" si="27"/>
        <v>0</v>
      </c>
      <c r="Q81" s="146">
        <f t="shared" si="28"/>
        <v>0</v>
      </c>
      <c r="R81" s="146">
        <f t="shared" si="29"/>
        <v>0</v>
      </c>
      <c r="S81" s="146">
        <f t="shared" si="30"/>
        <v>0</v>
      </c>
      <c r="T81" s="146">
        <f t="shared" si="31"/>
        <v>0</v>
      </c>
      <c r="U81" s="146" cm="1">
        <f t="array" ref="U81">IF(OR(A81="",$U$3=0),0,IF(ISERROR($U$3),0,ROUND(INDEX(MT_NP,1,職業等級)+(MAX(0,MT保額-3)*INDEX(MT_NP,2,職業等級)),0)))</f>
        <v>0</v>
      </c>
      <c r="V81" s="146">
        <f t="shared" si="32"/>
        <v>0</v>
      </c>
      <c r="W81" s="146">
        <f t="shared" si="33"/>
        <v>0</v>
      </c>
      <c r="X81" s="146">
        <f t="shared" si="34"/>
        <v>0</v>
      </c>
      <c r="Y81" s="146"/>
      <c r="Z81" s="146"/>
      <c r="AA81" s="153"/>
    </row>
    <row r="82" spans="1:27">
      <c r="A82" s="149" t="str">
        <f t="shared" si="35"/>
        <v/>
      </c>
      <c r="B82" s="150">
        <f ca="1">IF(OR(A82="",$B$3=0),0,
IF(AND(OR($B$2="ASGNLB1",$B$2="ASGNLB2"),$B$3&gt;30,$A82&gt;49),0,
IF(AND(照護有術顯示判斷=2,'試算表(16歲-65歲)'!A82&gt;=20,'試算表(16歲-65歲)'!A82&lt;=29),0,
VLOOKUP("P"&amp;REPT("0",2-LEN(商品年期))&amp;商品年期&amp;"S"&amp;"1"&amp;"A"&amp;REPT("0",2-LEN(A82))&amp;A82,INDIRECT(主約費率表),6,FALSE)*$B$3)))</f>
        <v>0</v>
      </c>
      <c r="C82" s="150">
        <f t="shared" si="19"/>
        <v>0</v>
      </c>
      <c r="D82" s="150">
        <f t="shared" si="20"/>
        <v>0</v>
      </c>
      <c r="E82" s="150">
        <f t="shared" si="21"/>
        <v>0</v>
      </c>
      <c r="F82" s="150">
        <f t="shared" si="22"/>
        <v>0</v>
      </c>
      <c r="G82" s="151">
        <f t="shared" si="23"/>
        <v>0</v>
      </c>
      <c r="H82" s="151" cm="1">
        <f t="array" ref="H82">IF(OR(A82="",$H$3=0),0,IF(ISERROR($H$3),0,ROUND(INDEX(MT_NP,1,職業等級)+(MAX(0,MT保額-3)*INDEX(MT_NP,2,職業等級)),0)))</f>
        <v>0</v>
      </c>
      <c r="I82" s="150">
        <f t="shared" si="24"/>
        <v>0</v>
      </c>
      <c r="J82" s="150">
        <f t="shared" si="25"/>
        <v>0</v>
      </c>
      <c r="K82" s="150">
        <f t="shared" si="26"/>
        <v>0</v>
      </c>
      <c r="L82" s="150"/>
      <c r="M82" s="150"/>
      <c r="N82" s="152"/>
      <c r="O82" s="146">
        <f ca="1">IF(OR(A82="",$O$3=0),0,
IF(AND(OR($O$2="ASGNLB1",$O$2="ASGNLB2"),$O$3&gt;30,$A82&gt;49),0,
IF(AND(照護有術顯示判斷=2,'試算表(16歲-65歲)'!A82&gt;=20,'試算表(16歲-65歲)'!A82&lt;=29),0,
VLOOKUP("P"&amp;REPT("0",2-LEN(商品年期))&amp;商品年期&amp;"S"&amp;"2"&amp;"A"&amp;REPT("0",2-LEN(A82))&amp;A82,INDIRECT(主約費率表),6,FALSE)*$O$3)))</f>
        <v>0</v>
      </c>
      <c r="P82" s="146">
        <f t="shared" si="27"/>
        <v>0</v>
      </c>
      <c r="Q82" s="146">
        <f t="shared" si="28"/>
        <v>0</v>
      </c>
      <c r="R82" s="146">
        <f t="shared" si="29"/>
        <v>0</v>
      </c>
      <c r="S82" s="146">
        <f t="shared" si="30"/>
        <v>0</v>
      </c>
      <c r="T82" s="146">
        <f t="shared" si="31"/>
        <v>0</v>
      </c>
      <c r="U82" s="146" cm="1">
        <f t="array" ref="U82">IF(OR(A82="",$U$3=0),0,IF(ISERROR($U$3),0,ROUND(INDEX(MT_NP,1,職業等級)+(MAX(0,MT保額-3)*INDEX(MT_NP,2,職業等級)),0)))</f>
        <v>0</v>
      </c>
      <c r="V82" s="146">
        <f t="shared" si="32"/>
        <v>0</v>
      </c>
      <c r="W82" s="146">
        <f t="shared" si="33"/>
        <v>0</v>
      </c>
      <c r="X82" s="146">
        <f t="shared" si="34"/>
        <v>0</v>
      </c>
      <c r="Y82" s="146"/>
      <c r="Z82" s="146"/>
      <c r="AA82" s="153"/>
    </row>
    <row r="83" spans="1:27">
      <c r="A83" s="149" t="str">
        <f t="shared" si="35"/>
        <v/>
      </c>
      <c r="B83" s="150">
        <f ca="1">IF(OR(A83="",$B$3=0),0,
IF(AND(OR($B$2="ASGNLB1",$B$2="ASGNLB2"),$B$3&gt;30,$A83&gt;49),0,
IF(AND(照護有術顯示判斷=2,'試算表(16歲-65歲)'!A83&gt;=20,'試算表(16歲-65歲)'!A83&lt;=29),0,
VLOOKUP("P"&amp;REPT("0",2-LEN(商品年期))&amp;商品年期&amp;"S"&amp;"1"&amp;"A"&amp;REPT("0",2-LEN(A83))&amp;A83,INDIRECT(主約費率表),6,FALSE)*$B$3)))</f>
        <v>0</v>
      </c>
      <c r="C83" s="150">
        <f t="shared" si="19"/>
        <v>0</v>
      </c>
      <c r="D83" s="150">
        <f t="shared" si="20"/>
        <v>0</v>
      </c>
      <c r="E83" s="150">
        <f t="shared" si="21"/>
        <v>0</v>
      </c>
      <c r="F83" s="150">
        <f t="shared" si="22"/>
        <v>0</v>
      </c>
      <c r="G83" s="151">
        <f t="shared" si="23"/>
        <v>0</v>
      </c>
      <c r="H83" s="151" cm="1">
        <f t="array" ref="H83">IF(OR(A83="",$H$3=0),0,IF(ISERROR($H$3),0,ROUND(INDEX(MT_NP,1,職業等級)+(MAX(0,MT保額-3)*INDEX(MT_NP,2,職業等級)),0)))</f>
        <v>0</v>
      </c>
      <c r="I83" s="150">
        <f t="shared" si="24"/>
        <v>0</v>
      </c>
      <c r="J83" s="150">
        <f t="shared" si="25"/>
        <v>0</v>
      </c>
      <c r="K83" s="150">
        <f t="shared" si="26"/>
        <v>0</v>
      </c>
      <c r="L83" s="150"/>
      <c r="M83" s="150"/>
      <c r="N83" s="152"/>
      <c r="O83" s="146">
        <f ca="1">IF(OR(A83="",$O$3=0),0,
IF(AND(OR($O$2="ASGNLB1",$O$2="ASGNLB2"),$O$3&gt;30,$A83&gt;49),0,
IF(AND(照護有術顯示判斷=2,'試算表(16歲-65歲)'!A83&gt;=20,'試算表(16歲-65歲)'!A83&lt;=29),0,
VLOOKUP("P"&amp;REPT("0",2-LEN(商品年期))&amp;商品年期&amp;"S"&amp;"2"&amp;"A"&amp;REPT("0",2-LEN(A83))&amp;A83,INDIRECT(主約費率表),6,FALSE)*$O$3)))</f>
        <v>0</v>
      </c>
      <c r="P83" s="146">
        <f t="shared" si="27"/>
        <v>0</v>
      </c>
      <c r="Q83" s="146">
        <f t="shared" si="28"/>
        <v>0</v>
      </c>
      <c r="R83" s="146">
        <f t="shared" si="29"/>
        <v>0</v>
      </c>
      <c r="S83" s="146">
        <f t="shared" si="30"/>
        <v>0</v>
      </c>
      <c r="T83" s="146">
        <f t="shared" si="31"/>
        <v>0</v>
      </c>
      <c r="U83" s="146" cm="1">
        <f t="array" ref="U83">IF(OR(A83="",$U$3=0),0,IF(ISERROR($U$3),0,ROUND(INDEX(MT_NP,1,職業等級)+(MAX(0,MT保額-3)*INDEX(MT_NP,2,職業等級)),0)))</f>
        <v>0</v>
      </c>
      <c r="V83" s="146">
        <f t="shared" si="32"/>
        <v>0</v>
      </c>
      <c r="W83" s="146">
        <f t="shared" si="33"/>
        <v>0</v>
      </c>
      <c r="X83" s="146">
        <f t="shared" si="34"/>
        <v>0</v>
      </c>
      <c r="Y83" s="146"/>
      <c r="Z83" s="146"/>
      <c r="AA83" s="153"/>
    </row>
    <row r="84" spans="1:27">
      <c r="A84" s="149" t="str">
        <f t="shared" si="35"/>
        <v/>
      </c>
      <c r="B84" s="150">
        <f ca="1">IF(OR(A84="",$B$3=0),0,
IF(AND(OR($B$2="ASGNLB1",$B$2="ASGNLB2"),$B$3&gt;30,$A84&gt;49),0,
IF(AND(照護有術顯示判斷=2,'試算表(16歲-65歲)'!A84&gt;=20,'試算表(16歲-65歲)'!A84&lt;=29),0,
VLOOKUP("P"&amp;REPT("0",2-LEN(商品年期))&amp;商品年期&amp;"S"&amp;"1"&amp;"A"&amp;REPT("0",2-LEN(A84))&amp;A84,INDIRECT(主約費率表),6,FALSE)*$B$3)))</f>
        <v>0</v>
      </c>
      <c r="C84" s="150">
        <f t="shared" si="19"/>
        <v>0</v>
      </c>
      <c r="D84" s="150">
        <f t="shared" si="20"/>
        <v>0</v>
      </c>
      <c r="E84" s="150">
        <f t="shared" si="21"/>
        <v>0</v>
      </c>
      <c r="F84" s="150">
        <f t="shared" si="22"/>
        <v>0</v>
      </c>
      <c r="G84" s="151">
        <f t="shared" si="23"/>
        <v>0</v>
      </c>
      <c r="H84" s="151" cm="1">
        <f t="array" ref="H84">IF(OR(A84="",$H$3=0),0,IF(ISERROR($H$3),0,ROUND(INDEX(MT_NP,1,職業等級)+(MAX(0,MT保額-3)*INDEX(MT_NP,2,職業等級)),0)))</f>
        <v>0</v>
      </c>
      <c r="I84" s="150">
        <f t="shared" si="24"/>
        <v>0</v>
      </c>
      <c r="J84" s="150">
        <f t="shared" si="25"/>
        <v>0</v>
      </c>
      <c r="K84" s="150">
        <f t="shared" si="26"/>
        <v>0</v>
      </c>
      <c r="L84" s="150"/>
      <c r="M84" s="150"/>
      <c r="N84" s="152"/>
      <c r="O84" s="146">
        <f ca="1">IF(OR(A84="",$O$3=0),0,
IF(AND(OR($O$2="ASGNLB1",$O$2="ASGNLB2"),$O$3&gt;30,$A84&gt;49),0,
IF(AND(照護有術顯示判斷=2,'試算表(16歲-65歲)'!A84&gt;=20,'試算表(16歲-65歲)'!A84&lt;=29),0,
VLOOKUP("P"&amp;REPT("0",2-LEN(商品年期))&amp;商品年期&amp;"S"&amp;"2"&amp;"A"&amp;REPT("0",2-LEN(A84))&amp;A84,INDIRECT(主約費率表),6,FALSE)*$O$3)))</f>
        <v>0</v>
      </c>
      <c r="P84" s="146">
        <f t="shared" si="27"/>
        <v>0</v>
      </c>
      <c r="Q84" s="146">
        <f t="shared" si="28"/>
        <v>0</v>
      </c>
      <c r="R84" s="146">
        <f t="shared" si="29"/>
        <v>0</v>
      </c>
      <c r="S84" s="146">
        <f t="shared" si="30"/>
        <v>0</v>
      </c>
      <c r="T84" s="146">
        <f t="shared" si="31"/>
        <v>0</v>
      </c>
      <c r="U84" s="146" cm="1">
        <f t="array" ref="U84">IF(OR(A84="",$U$3=0),0,IF(ISERROR($U$3),0,ROUND(INDEX(MT_NP,1,職業等級)+(MAX(0,MT保額-3)*INDEX(MT_NP,2,職業等級)),0)))</f>
        <v>0</v>
      </c>
      <c r="V84" s="146">
        <f t="shared" si="32"/>
        <v>0</v>
      </c>
      <c r="W84" s="146">
        <f t="shared" si="33"/>
        <v>0</v>
      </c>
      <c r="X84" s="146">
        <f t="shared" si="34"/>
        <v>0</v>
      </c>
      <c r="Y84" s="146"/>
      <c r="Z84" s="146"/>
      <c r="AA84" s="153"/>
    </row>
    <row r="85" spans="1:27">
      <c r="A85" s="149" t="str">
        <f t="shared" si="35"/>
        <v/>
      </c>
      <c r="B85" s="150">
        <f ca="1">IF(OR(A85="",$B$3=0),0,
IF(AND(OR($B$2="ASGNLB1",$B$2="ASGNLB2"),$B$3&gt;30,$A85&gt;49),0,
IF(AND(照護有術顯示判斷=2,'試算表(16歲-65歲)'!A85&gt;=20,'試算表(16歲-65歲)'!A85&lt;=29),0,
VLOOKUP("P"&amp;REPT("0",2-LEN(商品年期))&amp;商品年期&amp;"S"&amp;"1"&amp;"A"&amp;REPT("0",2-LEN(A85))&amp;A85,INDIRECT(主約費率表),6,FALSE)*$B$3)))</f>
        <v>0</v>
      </c>
      <c r="C85" s="150">
        <f t="shared" si="19"/>
        <v>0</v>
      </c>
      <c r="D85" s="150">
        <f t="shared" si="20"/>
        <v>0</v>
      </c>
      <c r="E85" s="150">
        <f t="shared" si="21"/>
        <v>0</v>
      </c>
      <c r="F85" s="150">
        <f t="shared" si="22"/>
        <v>0</v>
      </c>
      <c r="G85" s="151">
        <f t="shared" si="23"/>
        <v>0</v>
      </c>
      <c r="H85" s="151" cm="1">
        <f t="array" ref="H85">IF(OR(A85="",$H$3=0),0,IF(ISERROR($H$3),0,ROUND(INDEX(MT_NP,1,職業等級)+(MAX(0,MT保額-3)*INDEX(MT_NP,2,職業等級)),0)))</f>
        <v>0</v>
      </c>
      <c r="I85" s="150">
        <f t="shared" si="24"/>
        <v>0</v>
      </c>
      <c r="J85" s="150">
        <f t="shared" si="25"/>
        <v>0</v>
      </c>
      <c r="K85" s="150">
        <f t="shared" si="26"/>
        <v>0</v>
      </c>
      <c r="L85" s="150"/>
      <c r="M85" s="150"/>
      <c r="N85" s="152"/>
      <c r="O85" s="146">
        <f ca="1">IF(OR(A85="",$O$3=0),0,
IF(AND(OR($O$2="ASGNLB1",$O$2="ASGNLB2"),$O$3&gt;30,$A85&gt;49),0,
IF(AND(照護有術顯示判斷=2,'試算表(16歲-65歲)'!A85&gt;=20,'試算表(16歲-65歲)'!A85&lt;=29),0,
VLOOKUP("P"&amp;REPT("0",2-LEN(商品年期))&amp;商品年期&amp;"S"&amp;"2"&amp;"A"&amp;REPT("0",2-LEN(A85))&amp;A85,INDIRECT(主約費率表),6,FALSE)*$O$3)))</f>
        <v>0</v>
      </c>
      <c r="P85" s="146">
        <f t="shared" si="27"/>
        <v>0</v>
      </c>
      <c r="Q85" s="146">
        <f t="shared" si="28"/>
        <v>0</v>
      </c>
      <c r="R85" s="146">
        <f t="shared" si="29"/>
        <v>0</v>
      </c>
      <c r="S85" s="146">
        <f t="shared" si="30"/>
        <v>0</v>
      </c>
      <c r="T85" s="146">
        <f t="shared" si="31"/>
        <v>0</v>
      </c>
      <c r="U85" s="146" cm="1">
        <f t="array" ref="U85">IF(OR(A85="",$U$3=0),0,IF(ISERROR($U$3),0,ROUND(INDEX(MT_NP,1,職業等級)+(MAX(0,MT保額-3)*INDEX(MT_NP,2,職業等級)),0)))</f>
        <v>0</v>
      </c>
      <c r="V85" s="146">
        <f t="shared" si="32"/>
        <v>0</v>
      </c>
      <c r="W85" s="146">
        <f t="shared" si="33"/>
        <v>0</v>
      </c>
      <c r="X85" s="146">
        <f t="shared" si="34"/>
        <v>0</v>
      </c>
      <c r="Y85" s="146"/>
      <c r="Z85" s="146"/>
      <c r="AA85" s="153"/>
    </row>
    <row r="86" spans="1:27">
      <c r="A86" s="149" t="str">
        <f t="shared" si="35"/>
        <v/>
      </c>
      <c r="B86" s="150">
        <f ca="1">IF(OR(A86="",$B$3=0),0,
IF(AND(OR($B$2="ASGNLB1",$B$2="ASGNLB2"),$B$3&gt;30,$A86&gt;49),0,
IF(AND(照護有術顯示判斷=2,'試算表(16歲-65歲)'!A86&gt;=20,'試算表(16歲-65歲)'!A86&lt;=29),0,
VLOOKUP("P"&amp;REPT("0",2-LEN(商品年期))&amp;商品年期&amp;"S"&amp;"1"&amp;"A"&amp;REPT("0",2-LEN(A86))&amp;A86,INDIRECT(主約費率表),6,FALSE)*$B$3)))</f>
        <v>0</v>
      </c>
      <c r="C86" s="150">
        <f t="shared" si="19"/>
        <v>0</v>
      </c>
      <c r="D86" s="150">
        <f t="shared" si="20"/>
        <v>0</v>
      </c>
      <c r="E86" s="150">
        <f t="shared" si="21"/>
        <v>0</v>
      </c>
      <c r="F86" s="150">
        <f t="shared" si="22"/>
        <v>0</v>
      </c>
      <c r="G86" s="151">
        <f t="shared" si="23"/>
        <v>0</v>
      </c>
      <c r="H86" s="151" cm="1">
        <f t="array" ref="H86">IF(OR(A86="",$H$3=0),0,IF(ISERROR($H$3),0,ROUND(INDEX(MT_NP,1,職業等級)+(MAX(0,MT保額-3)*INDEX(MT_NP,2,職業等級)),0)))</f>
        <v>0</v>
      </c>
      <c r="I86" s="150">
        <f t="shared" si="24"/>
        <v>0</v>
      </c>
      <c r="J86" s="150">
        <f t="shared" si="25"/>
        <v>0</v>
      </c>
      <c r="K86" s="150">
        <f t="shared" si="26"/>
        <v>0</v>
      </c>
      <c r="L86" s="150"/>
      <c r="M86" s="150"/>
      <c r="N86" s="152"/>
      <c r="O86" s="146">
        <f ca="1">IF(OR(A86="",$O$3=0),0,
IF(AND(OR($O$2="ASGNLB1",$O$2="ASGNLB2"),$O$3&gt;30,$A86&gt;49),0,
IF(AND(照護有術顯示判斷=2,'試算表(16歲-65歲)'!A86&gt;=20,'試算表(16歲-65歲)'!A86&lt;=29),0,
VLOOKUP("P"&amp;REPT("0",2-LEN(商品年期))&amp;商品年期&amp;"S"&amp;"2"&amp;"A"&amp;REPT("0",2-LEN(A86))&amp;A86,INDIRECT(主約費率表),6,FALSE)*$O$3)))</f>
        <v>0</v>
      </c>
      <c r="P86" s="146">
        <f t="shared" si="27"/>
        <v>0</v>
      </c>
      <c r="Q86" s="146">
        <f t="shared" si="28"/>
        <v>0</v>
      </c>
      <c r="R86" s="146">
        <f t="shared" si="29"/>
        <v>0</v>
      </c>
      <c r="S86" s="146">
        <f t="shared" si="30"/>
        <v>0</v>
      </c>
      <c r="T86" s="146">
        <f t="shared" si="31"/>
        <v>0</v>
      </c>
      <c r="U86" s="146" cm="1">
        <f t="array" ref="U86">IF(OR(A86="",$U$3=0),0,IF(ISERROR($U$3),0,ROUND(INDEX(MT_NP,1,職業等級)+(MAX(0,MT保額-3)*INDEX(MT_NP,2,職業等級)),0)))</f>
        <v>0</v>
      </c>
      <c r="V86" s="146">
        <f t="shared" si="32"/>
        <v>0</v>
      </c>
      <c r="W86" s="146">
        <f t="shared" si="33"/>
        <v>0</v>
      </c>
      <c r="X86" s="146">
        <f t="shared" si="34"/>
        <v>0</v>
      </c>
      <c r="Y86" s="146"/>
      <c r="Z86" s="146"/>
      <c r="AA86" s="153"/>
    </row>
    <row r="87" spans="1:27">
      <c r="A87" s="149" t="str">
        <f t="shared" si="35"/>
        <v/>
      </c>
      <c r="B87" s="150">
        <f ca="1">IF(OR(A87="",$B$3=0),0,
IF(AND(OR($B$2="ASGNLB1",$B$2="ASGNLB2"),$B$3&gt;30,$A87&gt;49),0,
IF(AND(照護有術顯示判斷=2,'試算表(16歲-65歲)'!A87&gt;=20,'試算表(16歲-65歲)'!A87&lt;=29),0,
VLOOKUP("P"&amp;REPT("0",2-LEN(商品年期))&amp;商品年期&amp;"S"&amp;"1"&amp;"A"&amp;REPT("0",2-LEN(A87))&amp;A87,INDIRECT(主約費率表),6,FALSE)*$B$3)))</f>
        <v>0</v>
      </c>
      <c r="C87" s="150">
        <f t="shared" si="19"/>
        <v>0</v>
      </c>
      <c r="D87" s="150">
        <f t="shared" si="20"/>
        <v>0</v>
      </c>
      <c r="E87" s="150">
        <f t="shared" si="21"/>
        <v>0</v>
      </c>
      <c r="F87" s="150">
        <f t="shared" si="22"/>
        <v>0</v>
      </c>
      <c r="G87" s="151">
        <f t="shared" si="23"/>
        <v>0</v>
      </c>
      <c r="H87" s="151" cm="1">
        <f t="array" ref="H87">IF(OR(A87="",$H$3=0),0,IF(ISERROR($H$3),0,ROUND(INDEX(MT_NP,1,職業等級)+(MAX(0,MT保額-3)*INDEX(MT_NP,2,職業等級)),0)))</f>
        <v>0</v>
      </c>
      <c r="I87" s="150">
        <f t="shared" si="24"/>
        <v>0</v>
      </c>
      <c r="J87" s="150">
        <f t="shared" si="25"/>
        <v>0</v>
      </c>
      <c r="K87" s="150">
        <f t="shared" si="26"/>
        <v>0</v>
      </c>
      <c r="L87" s="150"/>
      <c r="M87" s="150"/>
      <c r="N87" s="152"/>
      <c r="O87" s="146">
        <f ca="1">IF(OR(A87="",$O$3=0),0,
IF(AND(OR($O$2="ASGNLB1",$O$2="ASGNLB2"),$O$3&gt;30,$A87&gt;49),0,
IF(AND(照護有術顯示判斷=2,'試算表(16歲-65歲)'!A87&gt;=20,'試算表(16歲-65歲)'!A87&lt;=29),0,
VLOOKUP("P"&amp;REPT("0",2-LEN(商品年期))&amp;商品年期&amp;"S"&amp;"2"&amp;"A"&amp;REPT("0",2-LEN(A87))&amp;A87,INDIRECT(主約費率表),6,FALSE)*$O$3)))</f>
        <v>0</v>
      </c>
      <c r="P87" s="146">
        <f t="shared" si="27"/>
        <v>0</v>
      </c>
      <c r="Q87" s="146">
        <f t="shared" si="28"/>
        <v>0</v>
      </c>
      <c r="R87" s="146">
        <f t="shared" si="29"/>
        <v>0</v>
      </c>
      <c r="S87" s="146">
        <f t="shared" si="30"/>
        <v>0</v>
      </c>
      <c r="T87" s="146">
        <f t="shared" si="31"/>
        <v>0</v>
      </c>
      <c r="U87" s="146" cm="1">
        <f t="array" ref="U87">IF(OR(A87="",$U$3=0),0,IF(ISERROR($U$3),0,ROUND(INDEX(MT_NP,1,職業等級)+(MAX(0,MT保額-3)*INDEX(MT_NP,2,職業等級)),0)))</f>
        <v>0</v>
      </c>
      <c r="V87" s="146">
        <f t="shared" si="32"/>
        <v>0</v>
      </c>
      <c r="W87" s="146">
        <f t="shared" si="33"/>
        <v>0</v>
      </c>
      <c r="X87" s="146">
        <f t="shared" si="34"/>
        <v>0</v>
      </c>
      <c r="Y87" s="146"/>
      <c r="Z87" s="146"/>
      <c r="AA87" s="153"/>
    </row>
    <row r="88" spans="1:27">
      <c r="A88" s="149" t="str">
        <f t="shared" si="35"/>
        <v/>
      </c>
      <c r="B88" s="150">
        <f ca="1">IF(OR(A88="",$B$3=0),0,
IF(AND(OR($B$2="ASGNLB1",$B$2="ASGNLB2"),$B$3&gt;30,$A88&gt;49),0,
IF(AND(照護有術顯示判斷=2,'試算表(16歲-65歲)'!A88&gt;=20,'試算表(16歲-65歲)'!A88&lt;=29),0,
VLOOKUP("P"&amp;REPT("0",2-LEN(商品年期))&amp;商品年期&amp;"S"&amp;"1"&amp;"A"&amp;REPT("0",2-LEN(A88))&amp;A88,INDIRECT(主約費率表),6,FALSE)*$B$3)))</f>
        <v>0</v>
      </c>
      <c r="C88" s="150">
        <f t="shared" si="19"/>
        <v>0</v>
      </c>
      <c r="D88" s="150">
        <f t="shared" si="20"/>
        <v>0</v>
      </c>
      <c r="E88" s="150">
        <f t="shared" si="21"/>
        <v>0</v>
      </c>
      <c r="F88" s="150">
        <f t="shared" si="22"/>
        <v>0</v>
      </c>
      <c r="G88" s="151">
        <f t="shared" si="23"/>
        <v>0</v>
      </c>
      <c r="H88" s="151" cm="1">
        <f t="array" ref="H88">IF(OR(A88="",$H$3=0),0,IF(ISERROR($H$3),0,ROUND(INDEX(MT_NP,1,職業等級)+(MAX(0,MT保額-3)*INDEX(MT_NP,2,職業等級)),0)))</f>
        <v>0</v>
      </c>
      <c r="I88" s="150">
        <f t="shared" si="24"/>
        <v>0</v>
      </c>
      <c r="J88" s="150">
        <f t="shared" si="25"/>
        <v>0</v>
      </c>
      <c r="K88" s="150">
        <f t="shared" si="26"/>
        <v>0</v>
      </c>
      <c r="L88" s="150"/>
      <c r="M88" s="150"/>
      <c r="N88" s="152"/>
      <c r="O88" s="146">
        <f ca="1">IF(OR(A88="",$O$3=0),0,
IF(AND(OR($O$2="ASGNLB1",$O$2="ASGNLB2"),$O$3&gt;30,$A88&gt;49),0,
IF(AND(照護有術顯示判斷=2,'試算表(16歲-65歲)'!A88&gt;=20,'試算表(16歲-65歲)'!A88&lt;=29),0,
VLOOKUP("P"&amp;REPT("0",2-LEN(商品年期))&amp;商品年期&amp;"S"&amp;"2"&amp;"A"&amp;REPT("0",2-LEN(A88))&amp;A88,INDIRECT(主約費率表),6,FALSE)*$O$3)))</f>
        <v>0</v>
      </c>
      <c r="P88" s="146">
        <f t="shared" si="27"/>
        <v>0</v>
      </c>
      <c r="Q88" s="146">
        <f t="shared" si="28"/>
        <v>0</v>
      </c>
      <c r="R88" s="146">
        <f t="shared" si="29"/>
        <v>0</v>
      </c>
      <c r="S88" s="146">
        <f t="shared" si="30"/>
        <v>0</v>
      </c>
      <c r="T88" s="146">
        <f t="shared" si="31"/>
        <v>0</v>
      </c>
      <c r="U88" s="146" cm="1">
        <f t="array" ref="U88">IF(OR(A88="",$U$3=0),0,IF(ISERROR($U$3),0,ROUND(INDEX(MT_NP,1,職業等級)+(MAX(0,MT保額-3)*INDEX(MT_NP,2,職業等級)),0)))</f>
        <v>0</v>
      </c>
      <c r="V88" s="146">
        <f t="shared" si="32"/>
        <v>0</v>
      </c>
      <c r="W88" s="146">
        <f t="shared" si="33"/>
        <v>0</v>
      </c>
      <c r="X88" s="146">
        <f t="shared" si="34"/>
        <v>0</v>
      </c>
      <c r="Y88" s="146"/>
      <c r="Z88" s="146"/>
      <c r="AA88" s="153"/>
    </row>
    <row r="89" spans="1:27">
      <c r="A89" s="149" t="str">
        <f t="shared" si="35"/>
        <v/>
      </c>
      <c r="B89" s="150">
        <f ca="1">IF(OR(A89="",$B$3=0),0,
IF(AND(OR($B$2="ASGNLB1",$B$2="ASGNLB2"),$B$3&gt;30,$A89&gt;49),0,
IF(AND(照護有術顯示判斷=2,'試算表(16歲-65歲)'!A89&gt;=20,'試算表(16歲-65歲)'!A89&lt;=29),0,
VLOOKUP("P"&amp;REPT("0",2-LEN(商品年期))&amp;商品年期&amp;"S"&amp;"1"&amp;"A"&amp;REPT("0",2-LEN(A89))&amp;A89,INDIRECT(主約費率表),6,FALSE)*$B$3)))</f>
        <v>0</v>
      </c>
      <c r="C89" s="150">
        <f t="shared" si="19"/>
        <v>0</v>
      </c>
      <c r="D89" s="150">
        <f t="shared" si="20"/>
        <v>0</v>
      </c>
      <c r="E89" s="150">
        <f t="shared" si="21"/>
        <v>0</v>
      </c>
      <c r="F89" s="150">
        <f t="shared" si="22"/>
        <v>0</v>
      </c>
      <c r="G89" s="151">
        <f t="shared" si="23"/>
        <v>0</v>
      </c>
      <c r="H89" s="151" cm="1">
        <f t="array" ref="H89">IF(OR(A89="",$H$3=0),0,IF(ISERROR($H$3),0,ROUND(INDEX(MT_NP,1,職業等級)+(MAX(0,MT保額-3)*INDEX(MT_NP,2,職業等級)),0)))</f>
        <v>0</v>
      </c>
      <c r="I89" s="150">
        <f t="shared" si="24"/>
        <v>0</v>
      </c>
      <c r="J89" s="150">
        <f t="shared" si="25"/>
        <v>0</v>
      </c>
      <c r="K89" s="150">
        <f t="shared" si="26"/>
        <v>0</v>
      </c>
      <c r="L89" s="150"/>
      <c r="M89" s="150"/>
      <c r="N89" s="152"/>
      <c r="O89" s="146">
        <f ca="1">IF(OR(A89="",$O$3=0),0,
IF(AND(OR($O$2="ASGNLB1",$O$2="ASGNLB2"),$O$3&gt;30,$A89&gt;49),0,
IF(AND(照護有術顯示判斷=2,'試算表(16歲-65歲)'!A89&gt;=20,'試算表(16歲-65歲)'!A89&lt;=29),0,
VLOOKUP("P"&amp;REPT("0",2-LEN(商品年期))&amp;商品年期&amp;"S"&amp;"2"&amp;"A"&amp;REPT("0",2-LEN(A89))&amp;A89,INDIRECT(主約費率表),6,FALSE)*$O$3)))</f>
        <v>0</v>
      </c>
      <c r="P89" s="146">
        <f t="shared" si="27"/>
        <v>0</v>
      </c>
      <c r="Q89" s="146">
        <f t="shared" si="28"/>
        <v>0</v>
      </c>
      <c r="R89" s="146">
        <f t="shared" si="29"/>
        <v>0</v>
      </c>
      <c r="S89" s="146">
        <f t="shared" si="30"/>
        <v>0</v>
      </c>
      <c r="T89" s="146">
        <f t="shared" si="31"/>
        <v>0</v>
      </c>
      <c r="U89" s="146" cm="1">
        <f t="array" ref="U89">IF(OR(A89="",$U$3=0),0,IF(ISERROR($U$3),0,ROUND(INDEX(MT_NP,1,職業等級)+(MAX(0,MT保額-3)*INDEX(MT_NP,2,職業等級)),0)))</f>
        <v>0</v>
      </c>
      <c r="V89" s="146">
        <f t="shared" si="32"/>
        <v>0</v>
      </c>
      <c r="W89" s="146">
        <f t="shared" si="33"/>
        <v>0</v>
      </c>
      <c r="X89" s="146">
        <f t="shared" si="34"/>
        <v>0</v>
      </c>
      <c r="Y89" s="146"/>
      <c r="Z89" s="146"/>
      <c r="AA89" s="153"/>
    </row>
    <row r="90" spans="1:27">
      <c r="A90" s="149" t="str">
        <f t="shared" si="35"/>
        <v/>
      </c>
      <c r="B90" s="150">
        <f ca="1">IF(OR(A90="",$B$3=0),0,
IF(AND(OR($B$2="ASGNLB1",$B$2="ASGNLB2"),$B$3&gt;30,$A90&gt;49),0,
IF(AND(照護有術顯示判斷=2,'試算表(16歲-65歲)'!A90&gt;=20,'試算表(16歲-65歲)'!A90&lt;=29),0,
VLOOKUP("P"&amp;REPT("0",2-LEN(商品年期))&amp;商品年期&amp;"S"&amp;"1"&amp;"A"&amp;REPT("0",2-LEN(A90))&amp;A90,INDIRECT(主約費率表),6,FALSE)*$B$3)))</f>
        <v>0</v>
      </c>
      <c r="C90" s="150">
        <f t="shared" si="19"/>
        <v>0</v>
      </c>
      <c r="D90" s="150">
        <f t="shared" si="20"/>
        <v>0</v>
      </c>
      <c r="E90" s="150">
        <f t="shared" si="21"/>
        <v>0</v>
      </c>
      <c r="F90" s="150">
        <f t="shared" si="22"/>
        <v>0</v>
      </c>
      <c r="G90" s="151">
        <f t="shared" si="23"/>
        <v>0</v>
      </c>
      <c r="H90" s="151" cm="1">
        <f t="array" ref="H90">IF(OR(A90="",$H$3=0),0,IF(ISERROR($H$3),0,ROUND(INDEX(MT_NP,1,職業等級)+(MAX(0,MT保額-3)*INDEX(MT_NP,2,職業等級)),0)))</f>
        <v>0</v>
      </c>
      <c r="I90" s="150">
        <f t="shared" si="24"/>
        <v>0</v>
      </c>
      <c r="J90" s="150">
        <f t="shared" si="25"/>
        <v>0</v>
      </c>
      <c r="K90" s="150">
        <f t="shared" si="26"/>
        <v>0</v>
      </c>
      <c r="L90" s="150"/>
      <c r="M90" s="150"/>
      <c r="N90" s="152"/>
      <c r="O90" s="146">
        <f ca="1">IF(OR(A90="",$O$3=0),0,
IF(AND(OR($O$2="ASGNLB1",$O$2="ASGNLB2"),$O$3&gt;30,$A90&gt;49),0,
IF(AND(照護有術顯示判斷=2,'試算表(16歲-65歲)'!A90&gt;=20,'試算表(16歲-65歲)'!A90&lt;=29),0,
VLOOKUP("P"&amp;REPT("0",2-LEN(商品年期))&amp;商品年期&amp;"S"&amp;"2"&amp;"A"&amp;REPT("0",2-LEN(A90))&amp;A90,INDIRECT(主約費率表),6,FALSE)*$O$3)))</f>
        <v>0</v>
      </c>
      <c r="P90" s="146">
        <f t="shared" si="27"/>
        <v>0</v>
      </c>
      <c r="Q90" s="146">
        <f t="shared" si="28"/>
        <v>0</v>
      </c>
      <c r="R90" s="146">
        <f t="shared" si="29"/>
        <v>0</v>
      </c>
      <c r="S90" s="146">
        <f t="shared" si="30"/>
        <v>0</v>
      </c>
      <c r="T90" s="146">
        <f t="shared" si="31"/>
        <v>0</v>
      </c>
      <c r="U90" s="146" cm="1">
        <f t="array" ref="U90">IF(OR(A90="",$U$3=0),0,IF(ISERROR($U$3),0,ROUND(INDEX(MT_NP,1,職業等級)+(MAX(0,MT保額-3)*INDEX(MT_NP,2,職業等級)),0)))</f>
        <v>0</v>
      </c>
      <c r="V90" s="146">
        <f t="shared" si="32"/>
        <v>0</v>
      </c>
      <c r="W90" s="146">
        <f t="shared" si="33"/>
        <v>0</v>
      </c>
      <c r="X90" s="146">
        <f t="shared" si="34"/>
        <v>0</v>
      </c>
      <c r="Y90" s="146"/>
      <c r="Z90" s="146"/>
      <c r="AA90" s="153"/>
    </row>
  </sheetData>
  <sheetProtection algorithmName="SHA-512" hashValue="gHHkA2afaBz4+Z4IUkITTwvW4X3I+4VzXuqso5USkqtvRpVhxmpdXezj9HzNaKntM+yExa9C5Nu0C+4oOlzqgg==" saltValue="4AnLcT0pCubkoatwEIz/jQ==" spinCount="100000" sheet="1" objects="1" scenarios="1"/>
  <mergeCells count="2">
    <mergeCell ref="B1:N1"/>
    <mergeCell ref="O1:AA1"/>
  </mergeCells>
  <phoneticPr fontId="2" type="noConversion"/>
  <pageMargins left="0.7" right="0.7" top="0.75" bottom="0.75" header="0.3" footer="0.3"/>
  <pageSetup paperSize="9" orientation="portrait" r:id="rId1"/>
</worksheet>
</file>

<file path=docMetadata/LabelInfo.xml><?xml version="1.0" encoding="utf-8"?>
<clbl:labelList xmlns:clbl="http://schemas.microsoft.com/office/2020/mipLabelMetadata">
  <clbl:label id="{ed121db1-3721-4230-84e8-3331eb029bec}" enabled="1" method="Privileged" siteId="{7007305e-2664-4e6b-b9a4-c4d5ccfd1524}"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具名範圍</vt:lpstr>
      </vt:variant>
      <vt:variant>
        <vt:i4>160</vt:i4>
      </vt:variant>
    </vt:vector>
  </HeadingPairs>
  <TitlesOfParts>
    <vt:vector size="171" baseType="lpstr">
      <vt:lpstr>資料輸入</vt:lpstr>
      <vt:lpstr>保費分齡表(0歲-15歲)</vt:lpstr>
      <vt:lpstr>保費分齡表(16歲-65歲)</vt:lpstr>
      <vt:lpstr>保費分齡表(66歲以上)</vt:lpstr>
      <vt:lpstr>OP</vt:lpstr>
      <vt:lpstr>資料檢核</vt:lpstr>
      <vt:lpstr>主約費率表</vt:lpstr>
      <vt:lpstr>附約NP</vt:lpstr>
      <vt:lpstr>試算表 (0-15歲)</vt:lpstr>
      <vt:lpstr>試算表(16歲-65歲)</vt:lpstr>
      <vt:lpstr>試算表 (66-70歲)</vt:lpstr>
      <vt:lpstr>ACCNTR1_NP</vt:lpstr>
      <vt:lpstr>ACCNTR1_是否投保</vt:lpstr>
      <vt:lpstr>ACCNTR1投保單位</vt:lpstr>
      <vt:lpstr>ACCNTR1商品代號</vt:lpstr>
      <vt:lpstr>ACCNTR1商品名稱</vt:lpstr>
      <vt:lpstr>ACCNTR1商品年期</vt:lpstr>
      <vt:lpstr>ACCNTR1最大保險年齡</vt:lpstr>
      <vt:lpstr>ACCNTR1最小保險年齡</vt:lpstr>
      <vt:lpstr>ACCNTR1檢核</vt:lpstr>
      <vt:lpstr>ACCNTR2_NP</vt:lpstr>
      <vt:lpstr>ACCNTR2_是否投保</vt:lpstr>
      <vt:lpstr>ACCNTR2保額</vt:lpstr>
      <vt:lpstr>ACCNTR2商品代號</vt:lpstr>
      <vt:lpstr>ACCNTR2商品名稱</vt:lpstr>
      <vt:lpstr>ACCNTR2商品年期</vt:lpstr>
      <vt:lpstr>ACCNTR2最大保險年齡</vt:lpstr>
      <vt:lpstr>ACCNTR2最小保險年齡</vt:lpstr>
      <vt:lpstr>ACCNTR2最低保額</vt:lpstr>
      <vt:lpstr>ACCNTR2最高保額</vt:lpstr>
      <vt:lpstr>ACCNTR2檢核</vt:lpstr>
      <vt:lpstr>ACCNTR3_NP</vt:lpstr>
      <vt:lpstr>ACCNTR3_是否投保</vt:lpstr>
      <vt:lpstr>ACCNTR3保額</vt:lpstr>
      <vt:lpstr>ACCNTR3商品代號</vt:lpstr>
      <vt:lpstr>ACCNTR3商品名稱</vt:lpstr>
      <vt:lpstr>ACCNTR3商品年期</vt:lpstr>
      <vt:lpstr>ACCNTR3最大保險年齡</vt:lpstr>
      <vt:lpstr>ACCNTR3最小保險年齡</vt:lpstr>
      <vt:lpstr>ACCNTR3最低保額</vt:lpstr>
      <vt:lpstr>ACCNTR3最高保額</vt:lpstr>
      <vt:lpstr>ACCNTR3檢核</vt:lpstr>
      <vt:lpstr>ADDNTR1_NP</vt:lpstr>
      <vt:lpstr>ADDNTR1_是否投保</vt:lpstr>
      <vt:lpstr>ADDNTR1保額</vt:lpstr>
      <vt:lpstr>ADDNTR1商品代號</vt:lpstr>
      <vt:lpstr>ADDNTR1商品名稱</vt:lpstr>
      <vt:lpstr>ADDNTR1商品年期</vt:lpstr>
      <vt:lpstr>ADDNTR1最大保險年齡</vt:lpstr>
      <vt:lpstr>ADDNTR1最小保險年齡</vt:lpstr>
      <vt:lpstr>ADDNTR1最低保額</vt:lpstr>
      <vt:lpstr>ADDNTR1最高保額</vt:lpstr>
      <vt:lpstr>ADDNTR1檢核</vt:lpstr>
      <vt:lpstr>ADMNTB1_NP</vt:lpstr>
      <vt:lpstr>ADMNTB1_清單</vt:lpstr>
      <vt:lpstr>ADMNTB1最大保險年齡</vt:lpstr>
      <vt:lpstr>ADMNTB1最小保險年齡</vt:lpstr>
      <vt:lpstr>ADMRTB1_NP</vt:lpstr>
      <vt:lpstr>ADMRTB1_清單</vt:lpstr>
      <vt:lpstr>ADMRTB1最大保險年齡</vt:lpstr>
      <vt:lpstr>ADMRTB1最小保險年齡</vt:lpstr>
      <vt:lpstr>AHINTB1_NP</vt:lpstr>
      <vt:lpstr>AHINTB1_清單</vt:lpstr>
      <vt:lpstr>AHINTB1最大保險年齡</vt:lpstr>
      <vt:lpstr>AHINTB1最小保險年齡</vt:lpstr>
      <vt:lpstr>AHINTB2_NP</vt:lpstr>
      <vt:lpstr>AHINTB2_清單</vt:lpstr>
      <vt:lpstr>AHINTB2最大保險年齡</vt:lpstr>
      <vt:lpstr>AHINTB2最小保險年齡</vt:lpstr>
      <vt:lpstr>AHIRLB1_NP</vt:lpstr>
      <vt:lpstr>AHIRLB1_清單</vt:lpstr>
      <vt:lpstr>AHIRLB1最大保險年齡</vt:lpstr>
      <vt:lpstr>AHIRLB1最小保險年齡</vt:lpstr>
      <vt:lpstr>AMRNTR1_NP</vt:lpstr>
      <vt:lpstr>AMRNTR1_是否投保</vt:lpstr>
      <vt:lpstr>AMRNTR1計劃</vt:lpstr>
      <vt:lpstr>AMRNTR1商品代號</vt:lpstr>
      <vt:lpstr>AMRNTR1商品名稱</vt:lpstr>
      <vt:lpstr>AMRNTR1商品年期</vt:lpstr>
      <vt:lpstr>AMRNTR1最大保險年齡</vt:lpstr>
      <vt:lpstr>AMRNTR1最小保險年齡</vt:lpstr>
      <vt:lpstr>AMRNTR1最低保額</vt:lpstr>
      <vt:lpstr>AMRNTR1最高保額</vt:lpstr>
      <vt:lpstr>AMRNTR1檢核</vt:lpstr>
      <vt:lpstr>ASGNLB1_NP</vt:lpstr>
      <vt:lpstr>ASGNLB1_清單</vt:lpstr>
      <vt:lpstr>ASGNLB1最大保險年齡</vt:lpstr>
      <vt:lpstr>ASGNLB1最小保險年齡</vt:lpstr>
      <vt:lpstr>ASGNLB2_NP</vt:lpstr>
      <vt:lpstr>ASGNLB2_清單</vt:lpstr>
      <vt:lpstr>ASGNLB2最大保險年齡</vt:lpstr>
      <vt:lpstr>ASGNLB2最小保險年齡</vt:lpstr>
      <vt:lpstr>BNLTRN1_NP</vt:lpstr>
      <vt:lpstr>BNLTRN1_是否投保</vt:lpstr>
      <vt:lpstr>BNLTRN1保額</vt:lpstr>
      <vt:lpstr>BNLTRN1商品代號</vt:lpstr>
      <vt:lpstr>BNLTRN1商品名稱</vt:lpstr>
      <vt:lpstr>BNLTRN1商品年期</vt:lpstr>
      <vt:lpstr>BNLTRN1最大保險年齡</vt:lpstr>
      <vt:lpstr>BNLTRN1最小保險年齡</vt:lpstr>
      <vt:lpstr>BNLTRN1最低保額</vt:lpstr>
      <vt:lpstr>BNLTRN1最高保額</vt:lpstr>
      <vt:lpstr>BNLTRN1檢核</vt:lpstr>
      <vt:lpstr>BNLTRN1繳費年期</vt:lpstr>
      <vt:lpstr>DPAA_NP</vt:lpstr>
      <vt:lpstr>DPAA_是否投保</vt:lpstr>
      <vt:lpstr>DPAA保額</vt:lpstr>
      <vt:lpstr>DPAA商品代號</vt:lpstr>
      <vt:lpstr>DPAA商品名稱</vt:lpstr>
      <vt:lpstr>DPAA商品年期</vt:lpstr>
      <vt:lpstr>DPAA最大保險年齡</vt:lpstr>
      <vt:lpstr>DPAA最小保險年齡</vt:lpstr>
      <vt:lpstr>DPAA最低保額</vt:lpstr>
      <vt:lpstr>DPAA最高保額</vt:lpstr>
      <vt:lpstr>DPAA檢核</vt:lpstr>
      <vt:lpstr>ML_NP</vt:lpstr>
      <vt:lpstr>ML_是否投保</vt:lpstr>
      <vt:lpstr>ML計劃</vt:lpstr>
      <vt:lpstr>ML商品代號</vt:lpstr>
      <vt:lpstr>ML商品名稱</vt:lpstr>
      <vt:lpstr>ML商品年期</vt:lpstr>
      <vt:lpstr>ML最大保險年齡</vt:lpstr>
      <vt:lpstr>ML最小保險年齡</vt:lpstr>
      <vt:lpstr>ML檢核</vt:lpstr>
      <vt:lpstr>MT_NP</vt:lpstr>
      <vt:lpstr>MT_是否投保</vt:lpstr>
      <vt:lpstr>MT保額</vt:lpstr>
      <vt:lpstr>MT商品代號</vt:lpstr>
      <vt:lpstr>MT商品名稱</vt:lpstr>
      <vt:lpstr>MT商品年期</vt:lpstr>
      <vt:lpstr>MT最大保險年齡</vt:lpstr>
      <vt:lpstr>MT最小保險年齡</vt:lpstr>
      <vt:lpstr>MT最低保額</vt:lpstr>
      <vt:lpstr>MT最高保額</vt:lpstr>
      <vt:lpstr>MT檢核</vt:lpstr>
      <vt:lpstr>'保費分齡表(0歲-15歲)'!Print_Area</vt:lpstr>
      <vt:lpstr>'保費分齡表(16歲-65歲)'!Print_Area</vt:lpstr>
      <vt:lpstr>'保費分齡表(66歲以上)'!Print_Area</vt:lpstr>
      <vt:lpstr>資料輸入!Print_Area</vt:lpstr>
      <vt:lpstr>'保費分齡表(0歲-15歲)'!Print_Titles</vt:lpstr>
      <vt:lpstr>'保費分齡表(16歲-65歲)'!Print_Titles</vt:lpstr>
      <vt:lpstr>'保費分齡表(66歲以上)'!Print_Titles</vt:lpstr>
      <vt:lpstr>分齡表最大險種顯示數</vt:lpstr>
      <vt:lpstr>分齡表最大顯示年齡</vt:lpstr>
      <vt:lpstr>分齡表最小顯示年齡</vt:lpstr>
      <vt:lpstr>主約保額</vt:lpstr>
      <vt:lpstr>主約商品</vt:lpstr>
      <vt:lpstr>主約商品集</vt:lpstr>
      <vt:lpstr>主約清單參數</vt:lpstr>
      <vt:lpstr>主約費率表</vt:lpstr>
      <vt:lpstr>主約檢核</vt:lpstr>
      <vt:lpstr>投保年齡_1</vt:lpstr>
      <vt:lpstr>投保年齡_2</vt:lpstr>
      <vt:lpstr>投保單位</vt:lpstr>
      <vt:lpstr>投保意外險判斷</vt:lpstr>
      <vt:lpstr>保費分齡表對應</vt:lpstr>
      <vt:lpstr>保費分齡表顯示順序</vt:lpstr>
      <vt:lpstr>保額單位數值</vt:lpstr>
      <vt:lpstr>商品代號</vt:lpstr>
      <vt:lpstr>商品名稱</vt:lpstr>
      <vt:lpstr>商品年期</vt:lpstr>
      <vt:lpstr>最大保險年齡</vt:lpstr>
      <vt:lpstr>最小保險年齡</vt:lpstr>
      <vt:lpstr>最低保額</vt:lpstr>
      <vt:lpstr>最高保額</vt:lpstr>
      <vt:lpstr>照護有術顯示判斷</vt:lpstr>
      <vt:lpstr>資料輸入_主約年期</vt:lpstr>
      <vt:lpstr>總檢核</vt:lpstr>
      <vt:lpstr>簡式商品名稱</vt:lpstr>
      <vt:lpstr>職業等級</vt:lpstr>
      <vt:lpstr>職業等級判斷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Sharon CH Lu (盧芊秀)</cp:lastModifiedBy>
  <cp:lastPrinted>2024-07-29T07:06:45Z</cp:lastPrinted>
  <dcterms:created xsi:type="dcterms:W3CDTF">2021-08-19T01:16:20Z</dcterms:created>
  <dcterms:modified xsi:type="dcterms:W3CDTF">2024-07-29T07:19:30Z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d121db1-3721-4230-84e8-3331eb029bec_Enabled">
    <vt:lpwstr>True</vt:lpwstr>
  </property>
  <property fmtid="{D5CDD505-2E9C-101B-9397-08002B2CF9AE}" pid="3" name="MSIP_Label_ed121db1-3721-4230-84e8-3331eb029bec_SiteId">
    <vt:lpwstr>7007305e-2664-4e6b-b9a4-c4d5ccfd1524</vt:lpwstr>
  </property>
  <property fmtid="{D5CDD505-2E9C-101B-9397-08002B2CF9AE}" pid="4" name="MSIP_Label_ed121db1-3721-4230-84e8-3331eb029bec_Owner">
    <vt:lpwstr>Caleb.YC.Huang@pcalife.com.tw</vt:lpwstr>
  </property>
  <property fmtid="{D5CDD505-2E9C-101B-9397-08002B2CF9AE}" pid="5" name="MSIP_Label_ed121db1-3721-4230-84e8-3331eb029bec_SetDate">
    <vt:lpwstr>2021-08-26T13:16:39.7147531Z</vt:lpwstr>
  </property>
  <property fmtid="{D5CDD505-2E9C-101B-9397-08002B2CF9AE}" pid="6" name="MSIP_Label_ed121db1-3721-4230-84e8-3331eb029bec_Name">
    <vt:lpwstr>Restricted</vt:lpwstr>
  </property>
  <property fmtid="{D5CDD505-2E9C-101B-9397-08002B2CF9AE}" pid="7" name="MSIP_Label_ed121db1-3721-4230-84e8-3331eb029bec_Application">
    <vt:lpwstr>Microsoft Azure Information Protection</vt:lpwstr>
  </property>
  <property fmtid="{D5CDD505-2E9C-101B-9397-08002B2CF9AE}" pid="8" name="MSIP_Label_ed121db1-3721-4230-84e8-3331eb029bec_ActionId">
    <vt:lpwstr>d90d6ed6-91f4-4447-b7a1-ad180f55947d</vt:lpwstr>
  </property>
  <property fmtid="{D5CDD505-2E9C-101B-9397-08002B2CF9AE}" pid="9" name="MSIP_Label_ed121db1-3721-4230-84e8-3331eb029bec_Extended_MSFT_Method">
    <vt:lpwstr>Automatic</vt:lpwstr>
  </property>
  <property fmtid="{D5CDD505-2E9C-101B-9397-08002B2CF9AE}" pid="10" name="Sensitivity">
    <vt:lpwstr>Restricted</vt:lpwstr>
  </property>
</Properties>
</file>